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3\"/>
    </mc:Choice>
  </mc:AlternateContent>
  <xr:revisionPtr revIDLastSave="0" documentId="13_ncr:1_{297B6F18-22FD-4964-9233-2F947A96BD91}" xr6:coauthVersionLast="36" xr6:coauthVersionMax="36" xr10:uidLastSave="{00000000-0000-0000-0000-000000000000}"/>
  <bookViews>
    <workbookView xWindow="0" yWindow="0" windowWidth="28800" windowHeight="11400" tabRatio="800" firstSheet="7" activeTab="12" xr2:uid="{00000000-000D-0000-FFFF-FFFF00000000}"/>
  </bookViews>
  <sheets>
    <sheet name="封面-移交" sheetId="22" r:id="rId1"/>
    <sheet name="勾稽" sheetId="15" r:id="rId2"/>
    <sheet name="代收款" sheetId="26" r:id="rId3"/>
    <sheet name="勾稽 (2)" sheetId="25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固定" sheetId="8" r:id="rId10"/>
    <sheet name="各項費用" sheetId="9" r:id="rId11"/>
    <sheet name="落後原因" sheetId="10" r:id="rId12"/>
    <sheet name="收支" sheetId="23" r:id="rId13"/>
    <sheet name="對照表" sheetId="24" r:id="rId14"/>
    <sheet name="庫款差額" sheetId="11" r:id="rId15"/>
    <sheet name="縣庫對帳" sheetId="12" r:id="rId16"/>
    <sheet name="專戶差額" sheetId="16" r:id="rId17"/>
    <sheet name="專戶對帳" sheetId="18" r:id="rId18"/>
    <sheet name="固定項目" sheetId="7" r:id="rId19"/>
    <sheet name="保管品" sheetId="17" r:id="rId20"/>
    <sheet name="對帳通知單" sheetId="13" r:id="rId21"/>
  </sheets>
  <externalReferences>
    <externalReference r:id="rId22"/>
    <externalReference r:id="rId23"/>
    <externalReference r:id="rId24"/>
    <externalReference r:id="rId25"/>
  </externalReferences>
  <definedNames>
    <definedName name="_xlnm.Print_Area" localSheetId="6">平衡!$A$1:$V$43</definedName>
    <definedName name="_xlnm.Print_Area" localSheetId="10">各項費用!$A$1:$W$36</definedName>
    <definedName name="_xlnm.Print_Area" localSheetId="12">收支!$A$1:$N$43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4">庫款差額!$A$1:$C$24</definedName>
    <definedName name="_xlnm.Print_Area" localSheetId="16">專戶差額!$A$1:$L$47</definedName>
    <definedName name="_xlnm.Print_Area" localSheetId="11">落後原因!$A$1:$P$20</definedName>
    <definedName name="_xlnm.Print_Area" localSheetId="8">資產!$A$1:$G$41</definedName>
    <definedName name="_xlnm.Print_Area" localSheetId="20">對帳通知單!$A$1:$R$20</definedName>
    <definedName name="_xlnm.Print_Area" localSheetId="13">對照表!$A$1:$I$34</definedName>
    <definedName name="_xlnm.Print_Area" localSheetId="5">餘絀表!$A$1:$AD$47</definedName>
    <definedName name="_xlnm.Print_Area" localSheetId="15">縣庫對帳!$B$1:$L$25</definedName>
    <definedName name="_xlnm.Print_Titles" localSheetId="10">各項費用!$2:$10</definedName>
    <definedName name="_xlnm.Print_Titles" localSheetId="14">庫款差額!$1:$5</definedName>
    <definedName name="_xlnm.Print_Titles" localSheetId="15">縣庫對帳!$1:$3</definedName>
  </definedNames>
  <calcPr calcId="179021"/>
</workbook>
</file>

<file path=xl/calcChain.xml><?xml version="1.0" encoding="utf-8"?>
<calcChain xmlns="http://schemas.openxmlformats.org/spreadsheetml/2006/main">
  <c r="E31" i="24" l="1"/>
  <c r="B16" i="11" l="1"/>
  <c r="Y94" i="26" l="1"/>
  <c r="Y66" i="26"/>
  <c r="D30" i="25"/>
  <c r="E28" i="25"/>
  <c r="D28" i="25"/>
  <c r="Y92" i="26"/>
  <c r="Z92" i="26"/>
  <c r="D27" i="25"/>
  <c r="D25" i="25"/>
  <c r="Y71" i="26"/>
  <c r="Y14" i="26"/>
  <c r="V14" i="1" l="1"/>
  <c r="V15" i="1"/>
  <c r="V16" i="1"/>
  <c r="V17" i="1"/>
  <c r="V18" i="1"/>
  <c r="V19" i="1"/>
  <c r="V20" i="1"/>
  <c r="V21" i="1"/>
  <c r="V22" i="1"/>
  <c r="V23" i="1"/>
  <c r="V24" i="1"/>
  <c r="V25" i="1"/>
  <c r="V26" i="1"/>
  <c r="V13" i="1"/>
  <c r="T27" i="1"/>
  <c r="T21" i="1"/>
  <c r="T22" i="1"/>
  <c r="T23" i="1"/>
  <c r="T13" i="1"/>
  <c r="T15" i="1"/>
  <c r="T14" i="1" s="1"/>
  <c r="T18" i="1"/>
  <c r="T19" i="1"/>
  <c r="N39" i="23" l="1"/>
  <c r="D29" i="24" l="1"/>
  <c r="C29" i="24"/>
  <c r="N38" i="23"/>
  <c r="N15" i="23"/>
  <c r="N16" i="23"/>
  <c r="N17" i="23"/>
  <c r="N18" i="23"/>
  <c r="N19" i="23"/>
  <c r="N20" i="23"/>
  <c r="N21" i="23"/>
  <c r="N22" i="23"/>
  <c r="N23" i="23"/>
  <c r="N24" i="23"/>
  <c r="N25" i="23"/>
  <c r="N26" i="23"/>
  <c r="N27" i="23"/>
  <c r="N28" i="23"/>
  <c r="N29" i="23"/>
  <c r="N30" i="23"/>
  <c r="N31" i="23"/>
  <c r="N32" i="23"/>
  <c r="N33" i="23"/>
  <c r="N34" i="23"/>
  <c r="N35" i="23"/>
  <c r="N36" i="23"/>
  <c r="N37" i="23"/>
  <c r="N14" i="23"/>
  <c r="I35" i="23" l="1"/>
  <c r="N4" i="12" l="1"/>
  <c r="O9" i="14" l="1"/>
  <c r="O10" i="14" s="1"/>
  <c r="G17" i="21"/>
  <c r="G18" i="21"/>
  <c r="G19" i="21"/>
  <c r="G20" i="21"/>
  <c r="G21" i="21"/>
  <c r="G16" i="21"/>
  <c r="G22" i="21"/>
  <c r="G23" i="21"/>
  <c r="G24" i="21"/>
  <c r="AG20" i="3" l="1"/>
  <c r="AG21" i="3"/>
  <c r="AG22" i="3"/>
  <c r="AG23" i="3"/>
  <c r="AG24" i="3"/>
  <c r="AG25" i="3"/>
  <c r="AG26" i="3"/>
  <c r="AG27" i="3"/>
  <c r="AG28" i="3"/>
  <c r="AG29" i="3"/>
  <c r="C22" i="8" l="1"/>
  <c r="D22" i="8"/>
  <c r="E22" i="8"/>
  <c r="G22" i="8" s="1"/>
  <c r="F22" i="8"/>
  <c r="H22" i="8"/>
  <c r="I22" i="8"/>
  <c r="J22" i="8"/>
  <c r="K22" i="8"/>
  <c r="L22" i="8" s="1"/>
  <c r="M22" i="8" l="1"/>
  <c r="N22" i="8" s="1"/>
  <c r="P7" i="12"/>
  <c r="J9" i="16"/>
  <c r="K8" i="16"/>
  <c r="J8" i="16"/>
  <c r="I8" i="16"/>
  <c r="G8" i="16"/>
  <c r="F27" i="25"/>
  <c r="F28" i="25"/>
  <c r="K44" i="16"/>
  <c r="K39" i="16"/>
  <c r="K35" i="16"/>
  <c r="K14" i="16"/>
  <c r="K10" i="16"/>
  <c r="K43" i="16" l="1"/>
  <c r="K49" i="16" s="1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L8" i="16"/>
  <c r="J43" i="16"/>
  <c r="J49" i="16" s="1"/>
  <c r="D23" i="25" l="1"/>
  <c r="E6" i="25" l="1"/>
  <c r="D6" i="25"/>
  <c r="I17" i="23" l="1"/>
  <c r="G31" i="25" l="1"/>
  <c r="I33" i="23" l="1"/>
  <c r="I31" i="23"/>
  <c r="I29" i="23"/>
  <c r="I27" i="23"/>
  <c r="I24" i="23"/>
  <c r="I22" i="23"/>
  <c r="I15" i="23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2" i="24" s="1"/>
  <c r="E13" i="24"/>
  <c r="I14" i="23"/>
  <c r="I26" i="23"/>
  <c r="D28" i="24"/>
  <c r="C5" i="3"/>
  <c r="A6" i="5"/>
  <c r="A4" i="1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19" i="3"/>
  <c r="AG18" i="3"/>
  <c r="AG17" i="3"/>
  <c r="AG16" i="3"/>
  <c r="C2" i="3"/>
  <c r="F31" i="25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E7" i="25"/>
  <c r="D7" i="25"/>
  <c r="D5" i="25"/>
  <c r="F30" i="25"/>
  <c r="F29" i="25"/>
  <c r="F25" i="25"/>
  <c r="H21" i="15"/>
  <c r="G13" i="21"/>
  <c r="G14" i="21"/>
  <c r="G15" i="21"/>
  <c r="G25" i="21"/>
  <c r="G26" i="21"/>
  <c r="G27" i="21"/>
  <c r="G28" i="21"/>
  <c r="G29" i="21"/>
  <c r="G30" i="21"/>
  <c r="G40" i="21"/>
  <c r="G41" i="21"/>
  <c r="G12" i="21"/>
  <c r="F11" i="15"/>
  <c r="D11" i="15"/>
  <c r="E13" i="15"/>
  <c r="F26" i="25" l="1"/>
  <c r="E28" i="24"/>
  <c r="I37" i="23"/>
  <c r="N41" i="23" s="1"/>
  <c r="J28" i="24"/>
  <c r="D32" i="24"/>
  <c r="E15" i="15"/>
  <c r="E20" i="15"/>
  <c r="E21" i="15"/>
  <c r="G11" i="15"/>
  <c r="E13" i="25" l="1"/>
  <c r="G13" i="25" s="1"/>
  <c r="D13" i="25" s="1"/>
  <c r="H10" i="25" s="1"/>
  <c r="F12" i="15"/>
  <c r="F12" i="25"/>
  <c r="D26" i="25"/>
  <c r="J32" i="24"/>
  <c r="E32" i="24"/>
  <c r="E9" i="15"/>
  <c r="D9" i="15"/>
  <c r="F21" i="15"/>
  <c r="F20" i="15"/>
  <c r="D20" i="15"/>
  <c r="D10" i="15"/>
  <c r="D31" i="25" l="1"/>
  <c r="D32" i="25" s="1"/>
  <c r="H8" i="16"/>
  <c r="E17" i="15"/>
  <c r="E8" i="15"/>
  <c r="D8" i="15"/>
  <c r="E7" i="15"/>
  <c r="D7" i="15"/>
  <c r="D6" i="15"/>
  <c r="D15" i="15"/>
  <c r="D14" i="15"/>
  <c r="M8" i="16" l="1"/>
  <c r="G7" i="16"/>
  <c r="M7" i="16" s="1"/>
  <c r="G13" i="15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L23" i="8" s="1"/>
  <c r="K24" i="8"/>
  <c r="M24" i="8" s="1"/>
  <c r="N24" i="8" s="1"/>
  <c r="K26" i="8"/>
  <c r="M26" i="8" s="1"/>
  <c r="N26" i="8" s="1"/>
  <c r="K27" i="8"/>
  <c r="L27" i="8" s="1"/>
  <c r="K29" i="8"/>
  <c r="M29" i="8" s="1"/>
  <c r="N29" i="8" s="1"/>
  <c r="K30" i="8"/>
  <c r="M30" i="8" s="1"/>
  <c r="N30" i="8" s="1"/>
  <c r="K32" i="8"/>
  <c r="M32" i="8" s="1"/>
  <c r="N32" i="8" s="1"/>
  <c r="K33" i="8"/>
  <c r="M33" i="8" s="1"/>
  <c r="N33" i="8" s="1"/>
  <c r="K35" i="8"/>
  <c r="M35" i="8" s="1"/>
  <c r="N35" i="8" s="1"/>
  <c r="K36" i="8"/>
  <c r="M36" i="8" s="1"/>
  <c r="N36" i="8" s="1"/>
  <c r="K38" i="8"/>
  <c r="M38" i="8" s="1"/>
  <c r="N38" i="8" s="1"/>
  <c r="K39" i="8"/>
  <c r="L39" i="8" s="1"/>
  <c r="K40" i="8"/>
  <c r="M40" i="8" s="1"/>
  <c r="N40" i="8" s="1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K37" i="8" s="1"/>
  <c r="L37" i="8" s="1"/>
  <c r="H37" i="8"/>
  <c r="M37" i="8" s="1"/>
  <c r="N37" i="8" s="1"/>
  <c r="F37" i="8"/>
  <c r="E37" i="8"/>
  <c r="D37" i="8"/>
  <c r="C37" i="8"/>
  <c r="J34" i="8"/>
  <c r="I34" i="8"/>
  <c r="K34" i="8" s="1"/>
  <c r="L34" i="8" s="1"/>
  <c r="H34" i="8"/>
  <c r="F34" i="8"/>
  <c r="E34" i="8"/>
  <c r="D34" i="8"/>
  <c r="C34" i="8"/>
  <c r="J31" i="8"/>
  <c r="I31" i="8"/>
  <c r="H31" i="8"/>
  <c r="F31" i="8"/>
  <c r="E31" i="8"/>
  <c r="D31" i="8"/>
  <c r="C31" i="8"/>
  <c r="J28" i="8"/>
  <c r="I28" i="8"/>
  <c r="H28" i="8"/>
  <c r="F28" i="8"/>
  <c r="E28" i="8"/>
  <c r="D28" i="8"/>
  <c r="C28" i="8"/>
  <c r="J25" i="8"/>
  <c r="I25" i="8"/>
  <c r="H25" i="8"/>
  <c r="F25" i="8"/>
  <c r="E25" i="8"/>
  <c r="D25" i="8"/>
  <c r="C25" i="8"/>
  <c r="L24" i="8"/>
  <c r="L36" i="8"/>
  <c r="L38" i="8"/>
  <c r="D21" i="8"/>
  <c r="E21" i="8"/>
  <c r="F21" i="8"/>
  <c r="H21" i="8"/>
  <c r="I21" i="8"/>
  <c r="J21" i="8"/>
  <c r="C21" i="8"/>
  <c r="G34" i="8" l="1"/>
  <c r="L33" i="8"/>
  <c r="L32" i="8"/>
  <c r="L30" i="8"/>
  <c r="C41" i="8"/>
  <c r="L29" i="8"/>
  <c r="L40" i="8"/>
  <c r="M34" i="8"/>
  <c r="N34" i="8" s="1"/>
  <c r="K21" i="8"/>
  <c r="L21" i="8" s="1"/>
  <c r="L26" i="8"/>
  <c r="F41" i="8"/>
  <c r="G31" i="8"/>
  <c r="G28" i="8"/>
  <c r="K31" i="8"/>
  <c r="L31" i="8" s="1"/>
  <c r="J41" i="8"/>
  <c r="G25" i="8"/>
  <c r="K28" i="8"/>
  <c r="L28" i="8" s="1"/>
  <c r="E41" i="8"/>
  <c r="D41" i="8"/>
  <c r="L35" i="8"/>
  <c r="G37" i="8"/>
  <c r="K25" i="8"/>
  <c r="L25" i="8" s="1"/>
  <c r="G21" i="8"/>
  <c r="M39" i="8"/>
  <c r="N39" i="8" s="1"/>
  <c r="M27" i="8"/>
  <c r="N27" i="8" s="1"/>
  <c r="I41" i="8"/>
  <c r="H41" i="8"/>
  <c r="M23" i="8"/>
  <c r="N23" i="8" s="1"/>
  <c r="D23" i="15"/>
  <c r="K41" i="8" l="1"/>
  <c r="L41" i="8" s="1"/>
  <c r="M25" i="8"/>
  <c r="N25" i="8" s="1"/>
  <c r="G41" i="8"/>
  <c r="M21" i="8"/>
  <c r="N21" i="8" s="1"/>
  <c r="M28" i="8"/>
  <c r="N28" i="8" s="1"/>
  <c r="M31" i="8"/>
  <c r="N31" i="8" s="1"/>
  <c r="L39" i="16"/>
  <c r="I39" i="16"/>
  <c r="H39" i="16"/>
  <c r="G39" i="16"/>
  <c r="M39" i="16" s="1"/>
  <c r="L35" i="16"/>
  <c r="I35" i="16"/>
  <c r="H35" i="16"/>
  <c r="G35" i="16"/>
  <c r="L14" i="16"/>
  <c r="I14" i="16"/>
  <c r="H14" i="16"/>
  <c r="G14" i="16"/>
  <c r="L10" i="16"/>
  <c r="I10" i="16"/>
  <c r="H10" i="16"/>
  <c r="G10" i="16"/>
  <c r="M41" i="8" l="1"/>
  <c r="N41" i="8" s="1"/>
  <c r="M10" i="16"/>
  <c r="G43" i="16"/>
  <c r="G49" i="16" s="1"/>
  <c r="M14" i="16"/>
  <c r="H43" i="16"/>
  <c r="H49" i="16" s="1"/>
  <c r="I43" i="16"/>
  <c r="I49" i="16" s="1"/>
  <c r="L43" i="16"/>
  <c r="L49" i="16" s="1"/>
  <c r="M35" i="16"/>
  <c r="A16" i="11"/>
  <c r="M43" i="16" l="1"/>
  <c r="G45" i="16"/>
  <c r="M45" i="16" s="1"/>
  <c r="F10" i="2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  <c r="H15" i="25" s="1"/>
</calcChain>
</file>

<file path=xl/sharedStrings.xml><?xml version="1.0" encoding="utf-8"?>
<sst xmlns="http://schemas.openxmlformats.org/spreadsheetml/2006/main" count="935" uniqueCount="700">
  <si>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</si>
  <si>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</si>
  <si>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</si>
  <si>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</si>
  <si>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</si>
  <si>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</si>
  <si>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</si>
  <si>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</si>
  <si>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</si>
  <si>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</si>
  <si>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</si>
  <si>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</si>
  <si>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</si>
  <si>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</si>
  <si>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</si>
  <si>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</si>
  <si>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</si>
  <si>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</si>
  <si>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</si>
  <si>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</si>
  <si>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</si>
  <si>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</si>
  <si>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</si>
  <si>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</si>
  <si>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</si>
  <si>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</si>
  <si>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</si>
  <si>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</si>
  <si>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</si>
  <si>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</si>
  <si>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</si>
  <si>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</si>
  <si>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</si>
  <si>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</si>
  <si>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</si>
  <si>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</si>
  <si>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</si>
  <si>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</si>
  <si>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</si>
  <si>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</si>
  <si>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</si>
  <si>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</si>
  <si>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</si>
  <si>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</si>
  <si>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</si>
  <si>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</si>
  <si>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</si>
  <si>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</si>
  <si>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</si>
  <si>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</si>
  <si>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</si>
  <si>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</si>
  <si>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</si>
  <si>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</si>
  <si>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</si>
  <si>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</si>
  <si>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</si>
  <si>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</si>
  <si>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</si>
  <si>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</si>
  <si>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</si>
  <si>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</si>
  <si>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</si>
  <si>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</si>
  <si>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</si>
  <si>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</si>
  <si>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</si>
  <si>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</si>
  <si>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</si>
  <si>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</si>
  <si>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</si>
  <si>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</si>
  <si>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</si>
  <si>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</si>
  <si>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</si>
  <si>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</si>
  <si>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</si>
  <si>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</si>
  <si>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</si>
  <si>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</si>
  <si>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彰化縣政府財政處對帳通知單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</si>
  <si>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</si>
  <si>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</si>
  <si>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</si>
  <si>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</si>
  <si>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</si>
  <si>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</si>
  <si>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</si>
  <si>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</si>
  <si>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</si>
  <si>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</si>
  <si>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</si>
  <si>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</si>
  <si>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</si>
  <si>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</si>
  <si>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</si>
  <si>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</si>
  <si>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</si>
  <si>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</si>
  <si>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</si>
  <si>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</si>
  <si>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</si>
  <si>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</si>
  <si>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</si>
  <si>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</si>
  <si>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</si>
  <si>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</si>
  <si>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</si>
  <si>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</si>
  <si>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</si>
  <si>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</si>
  <si>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</si>
  <si>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</si>
  <si>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</si>
  <si>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</si>
  <si>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</si>
  <si>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</si>
  <si>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</si>
  <si>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</si>
  <si>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</si>
  <si>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</si>
  <si>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</si>
  <si>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</si>
  <si>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</si>
  <si>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</si>
  <si>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</si>
  <si>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</si>
  <si>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</si>
  <si>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</si>
  <si>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</si>
  <si>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</si>
  <si>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</si>
  <si>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</si>
  <si>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</si>
  <si>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</si>
  <si>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</si>
  <si>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</si>
  <si>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</si>
  <si>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</si>
  <si>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</si>
  <si>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</si>
  <si>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</si>
  <si>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</si>
  <si>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</si>
  <si>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</si>
  <si>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</si>
  <si>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</si>
  <si>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</si>
  <si>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</si>
  <si>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</si>
  <si>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</si>
  <si>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</si>
  <si>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5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</si>
  <si>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</si>
  <si>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</si>
  <si>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</si>
  <si>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</si>
  <si>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</si>
  <si>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</si>
  <si>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</si>
  <si>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</si>
  <si>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</si>
  <si>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</si>
  <si>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</si>
  <si>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</si>
  <si>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</si>
  <si>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</si>
  <si>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</si>
  <si>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</si>
  <si>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</si>
  <si>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</si>
  <si>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</si>
  <si>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</si>
  <si>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</si>
  <si>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</si>
  <si>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</si>
  <si>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</si>
  <si>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</si>
  <si>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</si>
  <si>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</si>
  <si>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</si>
  <si>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</si>
  <si>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</si>
  <si>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5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</si>
  <si>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</si>
  <si>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</si>
  <si>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</si>
  <si>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</si>
  <si>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預付費用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</si>
  <si>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</si>
  <si>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</si>
  <si>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</si>
  <si>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</si>
  <si>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</si>
  <si>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</si>
  <si>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</si>
  <si>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</si>
  <si>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</si>
  <si>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</si>
  <si>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</si>
  <si>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</si>
  <si>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</si>
  <si>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</si>
  <si>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</si>
  <si>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</si>
  <si>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</si>
  <si>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</si>
  <si>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</si>
  <si>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</si>
  <si>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</si>
  <si>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</si>
  <si>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</si>
  <si>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</si>
  <si>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</si>
  <si>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</si>
  <si>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</si>
  <si>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</si>
  <si>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</si>
  <si>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</si>
  <si>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雜項設備</t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</si>
  <si>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</si>
  <si>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</si>
  <si>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</si>
  <si>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</si>
  <si>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</si>
  <si>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</si>
  <si>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</si>
  <si>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</si>
  <si>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</si>
  <si>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</si>
  <si>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</si>
  <si>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</si>
  <si>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</si>
  <si>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</si>
  <si>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</si>
  <si>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</si>
  <si>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</si>
  <si>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</si>
  <si>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</si>
  <si>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</si>
  <si>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</si>
  <si>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</si>
  <si>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</si>
  <si>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</si>
  <si>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</si>
  <si>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</si>
  <si>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</si>
  <si>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</si>
  <si>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</si>
  <si>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</si>
  <si>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</si>
  <si>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</si>
  <si>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</si>
  <si>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</si>
  <si>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</si>
  <si>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</si>
  <si>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</si>
  <si>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</si>
  <si>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</si>
  <si>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</si>
  <si>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</si>
  <si>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</si>
  <si>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</si>
  <si>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</si>
  <si>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</si>
  <si>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</si>
  <si>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</si>
  <si>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5" type="noConversion"/>
  </si>
  <si>
    <t xml:space="preserve">主辦會計人員 　　  </t>
    <phoneticPr fontId="25" type="noConversion"/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</si>
  <si>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</si>
  <si>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</si>
  <si>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</si>
  <si>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</si>
  <si>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</si>
  <si>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</si>
  <si>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</si>
  <si>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</si>
  <si>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</si>
  <si>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</si>
  <si>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機關代號：30175</t>
    <phoneticPr fontId="10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</si>
  <si>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</si>
  <si>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</si>
  <si>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</si>
  <si>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</si>
  <si>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</si>
  <si>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5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</si>
  <si>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5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</si>
  <si>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5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</si>
  <si>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5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</si>
  <si>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5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</si>
  <si>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5" type="noConversion"/>
  </si>
  <si>
    <t>日</t>
    <phoneticPr fontId="10" type="noConversion"/>
  </si>
  <si>
    <t>彰化縣秀水鄉馬興國民小學</t>
    <phoneticPr fontId="25" type="noConversion"/>
  </si>
  <si>
    <t>(三)</t>
    <phoneticPr fontId="10" type="noConversion"/>
  </si>
  <si>
    <t>(四)</t>
    <phoneticPr fontId="10" type="noConversion"/>
  </si>
  <si>
    <t>1.其他設備：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</si>
  <si>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</si>
  <si>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</si>
  <si>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</si>
  <si>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</si>
  <si>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</si>
  <si>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</si>
  <si>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</si>
  <si>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</si>
  <si>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</si>
  <si>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</si>
  <si>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5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</si>
  <si>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</si>
  <si>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</si>
  <si>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</si>
  <si>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</si>
  <si>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</si>
  <si>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</si>
  <si>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</si>
  <si>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</si>
  <si>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</si>
  <si>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</si>
  <si>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</si>
  <si>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</si>
  <si>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</si>
  <si>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</si>
  <si>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</si>
  <si>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</si>
  <si>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</si>
  <si>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</si>
  <si>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</si>
  <si>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</si>
  <si>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</si>
  <si>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</si>
  <si>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</si>
  <si>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</si>
  <si>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</si>
  <si>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</si>
  <si>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</si>
  <si>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</si>
  <si>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</si>
  <si>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</si>
  <si>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</si>
  <si>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</si>
  <si>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</si>
  <si>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</si>
  <si>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</si>
  <si>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</si>
  <si>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</si>
  <si>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</si>
  <si>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</si>
  <si>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</si>
  <si>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</si>
  <si>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</si>
  <si>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</si>
  <si>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</si>
  <si>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</si>
  <si>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</si>
  <si>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</si>
  <si>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</si>
  <si>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</si>
  <si>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</si>
  <si>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</si>
  <si>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</si>
  <si>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</si>
  <si>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</si>
  <si>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</si>
  <si>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</si>
  <si>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</si>
  <si>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</si>
  <si>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</si>
  <si>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</si>
  <si>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</si>
  <si>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</si>
  <si>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</si>
  <si>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</si>
  <si>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零用金</t>
    <phoneticPr fontId="10" type="noConversion"/>
  </si>
  <si>
    <t>保管金-帳面</t>
    <phoneticPr fontId="10" type="noConversion"/>
  </si>
  <si>
    <t>台銀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</si>
  <si>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</si>
  <si>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</si>
  <si>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</si>
  <si>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</si>
  <si>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</si>
  <si>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</si>
  <si>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</si>
  <si>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</si>
  <si>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</si>
  <si>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</si>
  <si>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</si>
  <si>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</si>
  <si>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</si>
  <si>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</si>
  <si>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</si>
  <si>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</si>
  <si>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</si>
  <si>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</si>
  <si>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</si>
  <si>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</si>
  <si>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</si>
  <si>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</si>
  <si>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</si>
  <si>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</si>
  <si>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</si>
  <si>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</si>
  <si>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</si>
  <si>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</si>
  <si>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</si>
  <si>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</si>
  <si>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</si>
  <si>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</si>
  <si>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</si>
  <si>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</si>
  <si>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</si>
  <si>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</si>
  <si>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</si>
  <si>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</si>
  <si>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</si>
  <si>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</si>
  <si>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</si>
  <si>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</si>
  <si>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</si>
  <si>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</si>
  <si>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</si>
  <si>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</si>
  <si>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</si>
  <si>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</si>
  <si>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</si>
  <si>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</si>
  <si>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</si>
  <si>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</si>
  <si>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</si>
  <si>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</si>
  <si>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</si>
  <si>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</si>
  <si>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</si>
  <si>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</si>
  <si>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</si>
  <si>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</si>
  <si>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</si>
  <si>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</si>
  <si>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</si>
  <si>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(一)</t>
    <phoneticPr fontId="10" type="noConversion"/>
  </si>
  <si>
    <t>服務收入：</t>
    <phoneticPr fontId="10" type="noConversion"/>
  </si>
  <si>
    <t>(二)</t>
    <phoneticPr fontId="10" type="noConversion"/>
  </si>
  <si>
    <t>財產處分收入：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</si>
  <si>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</si>
  <si>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</si>
  <si>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</si>
  <si>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</si>
  <si>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</si>
  <si>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</si>
  <si>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</si>
  <si>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報廢財物經惜物網拍賣分配之收入。</t>
  </si>
  <si>
    <t>電力系統改善工程款項預撥入戶，致保管金專戶利息收入增加。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</si>
  <si>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</si>
  <si>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</si>
  <si>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</si>
  <si>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</si>
  <si>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</si>
  <si>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</si>
  <si>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</si>
  <si>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</si>
  <si>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</si>
  <si>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</si>
  <si>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因冷氣儲值收入增加。</t>
    <phoneticPr fontId="10" type="noConversion"/>
  </si>
  <si>
    <t>本表編製基礎係依會計法刪除第二十九條後，納入固定資產及長期負債等科目，與預算編列基礎不同。</t>
    <phoneticPr fontId="10" type="noConversion"/>
  </si>
  <si>
    <t>本表編製基礎係依會計法刪除第二十九條後，平衡表已納入固定資產與長期負債等科目，與預算編列基礎不同。</t>
    <phoneticPr fontId="10" type="noConversion"/>
  </si>
  <si>
    <t>考量校園環境衛生避免孳生蚊蟲，寶特瓶等容器改為每週由清潔隊少量無償回收，及廢紙市場行情暴跌，致資源回收收入銳減。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</si>
  <si>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</si>
  <si>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</si>
  <si>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</si>
  <si>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</si>
  <si>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</si>
  <si>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</si>
  <si>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</si>
  <si>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</si>
  <si>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</si>
  <si>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</si>
  <si>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</si>
  <si>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</si>
  <si>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</si>
  <si>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</si>
  <si>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</si>
  <si>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</si>
  <si>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</si>
  <si>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</si>
  <si>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</si>
  <si>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</si>
  <si>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</si>
  <si>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</si>
  <si>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</si>
  <si>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</si>
  <si>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</si>
  <si>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</si>
  <si>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</si>
  <si>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</si>
  <si>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</si>
  <si>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</si>
  <si>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</si>
  <si>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</si>
  <si>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</si>
  <si>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</si>
  <si>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</si>
  <si>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</si>
  <si>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</si>
  <si>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</si>
  <si>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</si>
  <si>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</si>
  <si>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</si>
  <si>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</si>
  <si>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</si>
  <si>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</si>
  <si>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</si>
  <si>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</si>
  <si>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</si>
  <si>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</si>
  <si>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應付費用</t>
  </si>
  <si>
    <t>其他負債</t>
  </si>
  <si>
    <t>什項負債</t>
  </si>
  <si>
    <t>存入保證金</t>
  </si>
  <si>
    <t>淨資產</t>
  </si>
  <si>
    <t>累積餘額</t>
  </si>
  <si>
    <t>本期短絀</t>
  </si>
  <si>
    <t>淨資產調整數</t>
  </si>
  <si>
    <t>2</t>
  </si>
  <si>
    <t>21</t>
  </si>
  <si>
    <t>2102</t>
  </si>
  <si>
    <t>210203</t>
  </si>
  <si>
    <t>210204</t>
  </si>
  <si>
    <t>28</t>
  </si>
  <si>
    <t>2801</t>
  </si>
  <si>
    <t>280104</t>
  </si>
  <si>
    <t>3</t>
  </si>
  <si>
    <t>31</t>
  </si>
  <si>
    <t>3101</t>
  </si>
  <si>
    <t>310101</t>
  </si>
  <si>
    <t>310103</t>
  </si>
  <si>
    <t>310104</t>
  </si>
  <si>
    <t>用人費用</t>
  </si>
  <si>
    <t>-79.22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</si>
  <si>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</si>
  <si>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</si>
  <si>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</si>
  <si>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</si>
  <si>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</si>
  <si>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</si>
  <si>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</si>
  <si>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</si>
  <si>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</si>
  <si>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15</t>
  </si>
  <si>
    <t>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</si>
  <si>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</si>
  <si>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</si>
  <si>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</si>
  <si>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</si>
  <si>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</si>
  <si>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</si>
  <si>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</si>
  <si>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</si>
  <si>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</si>
  <si>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</si>
  <si>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</si>
  <si>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</si>
  <si>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</si>
  <si>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-95.31</t>
  </si>
  <si>
    <t>25</t>
  </si>
  <si>
    <t>修理保養及保固費</t>
  </si>
  <si>
    <t>252</t>
  </si>
  <si>
    <t>一般房屋修護費</t>
  </si>
  <si>
    <t>27</t>
  </si>
  <si>
    <t>一般服務費</t>
  </si>
  <si>
    <t>27D</t>
  </si>
  <si>
    <t>計時與計件人員酬金</t>
  </si>
  <si>
    <t>材料及用品費</t>
  </si>
  <si>
    <t>-96.05</t>
  </si>
  <si>
    <t>32</t>
  </si>
  <si>
    <t>用品消耗</t>
  </si>
  <si>
    <t>321</t>
  </si>
  <si>
    <t>辦公（事務）用品</t>
  </si>
  <si>
    <t>4</t>
  </si>
  <si>
    <t>租金、償債、利息及相關手續費</t>
  </si>
  <si>
    <t>-100.00</t>
  </si>
  <si>
    <t>7</t>
  </si>
  <si>
    <t>會費、捐助、補助、分攤、照護、救濟與交流活動費</t>
  </si>
  <si>
    <t>9</t>
  </si>
  <si>
    <t>合       計</t>
  </si>
  <si>
    <t>-80.26</t>
  </si>
  <si>
    <t>11353017580030100</t>
  </si>
  <si>
    <t>地方教育發展基金</t>
  </si>
  <si>
    <t>上期結餘</t>
  </si>
  <si>
    <t>113/01/02</t>
  </si>
  <si>
    <t>收入數</t>
  </si>
  <si>
    <t>00001</t>
  </si>
  <si>
    <t>0100096</t>
  </si>
  <si>
    <t>支付數</t>
  </si>
  <si>
    <t>00002</t>
  </si>
  <si>
    <t>0100097</t>
  </si>
  <si>
    <t>113/01/04</t>
  </si>
  <si>
    <t>00003</t>
  </si>
  <si>
    <t>0100452</t>
  </si>
  <si>
    <t>113/01/05</t>
  </si>
  <si>
    <t>00004</t>
  </si>
  <si>
    <t>0100570</t>
  </si>
  <si>
    <t>113/01/09</t>
  </si>
  <si>
    <t>00005</t>
  </si>
  <si>
    <t>0100759</t>
  </si>
  <si>
    <t>113/01/11</t>
  </si>
  <si>
    <t>00006</t>
  </si>
  <si>
    <t>0101044</t>
  </si>
  <si>
    <t>113/01/22</t>
  </si>
  <si>
    <t>00009</t>
  </si>
  <si>
    <t>0101735</t>
  </si>
  <si>
    <t>113/01/30</t>
  </si>
  <si>
    <t>0102426</t>
  </si>
  <si>
    <t>0102427</t>
  </si>
  <si>
    <t>113/01/31</t>
  </si>
  <si>
    <t>0102890</t>
  </si>
  <si>
    <t>0102891</t>
  </si>
  <si>
    <t>0103764</t>
  </si>
  <si>
    <t>小計</t>
  </si>
  <si>
    <t>總和 :</t>
  </si>
  <si>
    <t>ZA1205  存入保證金-#94121-保固金-活動中心拆除重建工程(達陞117.8.15)</t>
  </si>
  <si>
    <t>ZA1204  存入保證金-#94121-保固金-活動中心廣播視聽設備(神奕114.8.14)</t>
  </si>
  <si>
    <t>ZA1203  存入保證金-#94121-保固金-活動中心照明設備(亦達114.7.18)</t>
  </si>
  <si>
    <t>ZA1202  存入保證金-#94121-保固金-活動中心舞台布幕設備(亦達114.7.18)</t>
  </si>
  <si>
    <t>ZA1201  存入保證金-#94121-保固金-112木製課桌椅(合青113.5.1)</t>
  </si>
  <si>
    <t>ZA1103  存入保證金-#94121-保固金-校園危險欄杆修繕工程(振宏114.10.12)</t>
  </si>
  <si>
    <t>ZA1102  存入保證金-#94121-保固金-電力系統改善工程(言瑞113.6.9)</t>
  </si>
  <si>
    <t>ZA1101  存入保證金-#94121-保固金-109兒童遊戲場(爵鼎114.1.18)</t>
  </si>
  <si>
    <t>ZA1003  存入保證金-#94121-保固金-110北、東棟耐震工程(展育115.5.11)</t>
  </si>
  <si>
    <t>ZA1002  存入保證金-#94121-保固金-智慧教室-螢幕等(華經114.12.30)</t>
  </si>
  <si>
    <t>ZA1001  存入保證金-#94121-保固金-智慧教室-視訊分配(華經112.12.30)</t>
  </si>
  <si>
    <t>YA1301  存入保證金-#94121-履約保證金-113年度外訂午餐採購(豐成)</t>
  </si>
  <si>
    <t>YA1207  存入保證金-#94121-履約保證金-112學年度校外教學(花翎)</t>
  </si>
  <si>
    <t>YA1206  存入保證金-#94121-履約保證金-113年度午餐食材採購(承富)</t>
  </si>
  <si>
    <t>YA1204  存入保證金-#94121-履約保證金-活動中心冷氣機裝設及電力改善工程(統良)</t>
  </si>
  <si>
    <t>YA1106  存入保證金-#94121-履約保證金-112年度午餐食材採購(承富)</t>
  </si>
  <si>
    <t>M00009  應付代收款-保管戶#94121-指定用途捐款-獎助學金</t>
  </si>
  <si>
    <t>M00008  應付代收款-保管戶#94121-指定用途捐款-獎助學金、充實教學環境設備</t>
  </si>
  <si>
    <t>M00007  應付代收款-保管戶#94121-指定用途捐款-補助課後照顧及獎助學金</t>
  </si>
  <si>
    <t>M00006  應付代收款-保管戶#94121-指定用途捐款-補助代收代辦、課後照顧及獎助學金</t>
  </si>
  <si>
    <t>M00003  應付代收款-保管戶#94121-指定用途捐款-本校教學設備及師生活動經費</t>
  </si>
  <si>
    <t>KA0001  暫收及待結轉帳項-#196451-學生代收代辦費</t>
  </si>
  <si>
    <t>HC0007  應付代收款-仁愛專戶#94366-南管社團發展基金</t>
  </si>
  <si>
    <t>HC0006  應付代收款-仁愛專戶#94366-凱文獎助學金</t>
  </si>
  <si>
    <t>HC0005  應付代收款-仁愛專戶#94366- 林春複‧林吳鴦慈善會獎助學金</t>
  </si>
  <si>
    <t>HC0004  應付代收款-仁愛專戶#94366-許粘盆女士獎助基金定存單</t>
  </si>
  <si>
    <t>HC0003  應付代收款-仁愛專戶#94366-許粘盆女士獎助基金</t>
  </si>
  <si>
    <t>HC0002  應付代收款-仁愛專戶#94366-林謹獎助學金專戶定存單</t>
  </si>
  <si>
    <t>HC0001  應付代收款-仁愛專戶#94366-林謹獎助學金專戶</t>
  </si>
  <si>
    <t>HA0002  應付代收款-仁愛專戶#94366-仁愛專戶定存單</t>
  </si>
  <si>
    <t>HA0001  應付代收款-仁愛專戶#94366-仁愛專戶</t>
  </si>
  <si>
    <t>GA0003  應付代收款-午餐戶#94190-午餐費</t>
  </si>
  <si>
    <t>FA0009  應付代收款-保管戶94121-玉山志工社會福利慈善事業基金會</t>
  </si>
  <si>
    <t>FA0008  應付代收款-台銀保管戶#196451-專戶利息</t>
  </si>
  <si>
    <t>FA0003  應付代收款-保管戶#94121-資源回收經費</t>
  </si>
  <si>
    <t>FA0002  應付代收款-保管戶#94121-場地設施使用費</t>
  </si>
  <si>
    <t>FA0001  應付代收款-保管戶#94121-專戶利息</t>
  </si>
  <si>
    <t>EA0001  應付代收款-保管戶#94121-教職員退休金</t>
  </si>
  <si>
    <t>DA0008  應付代收款-保管戶#94121-特教助理</t>
  </si>
  <si>
    <t>DA0007  應付代收款-保管戶#94121-約聘人力</t>
  </si>
  <si>
    <t>DA0004  應付代收款-保管戶#94121-秀水鄉農會補助</t>
  </si>
  <si>
    <t>DA0002  應付代收款-保管戶#94121-各項補助經費</t>
  </si>
  <si>
    <t>CB0100  應付代收款-保管戶#94121-課後照顧</t>
  </si>
  <si>
    <t>CB0020  應付代收款-保管戶外94121-足球社團</t>
  </si>
  <si>
    <t>CB0018  應付代收款-保管戶#94121-空靈鼓社團</t>
  </si>
  <si>
    <t>CB0015  應付代收款-保管戶#94121-輕黏土社團</t>
  </si>
  <si>
    <t>CB0012  應付代收款-保管戶#94121-桌遊社團</t>
  </si>
  <si>
    <t>CB0011  應付代收款-保管戶#94121-非洲鼓社團</t>
  </si>
  <si>
    <t>CB0010  應付代收款-保管戶#94121-舞蹈社團</t>
  </si>
  <si>
    <t>CB0001  應付代收款-保管戶#94121-校外教學</t>
  </si>
  <si>
    <t>BA0014  應付代收款-保管戶#94121-代收健保費(勞)</t>
  </si>
  <si>
    <t>BA0013  應付代收款-保管戶#94121-代收健保費(公)</t>
  </si>
  <si>
    <t>BA0011  應付代收款-保管戶#94121-代收鐘點費</t>
  </si>
  <si>
    <t>BA0009  應付代收款-保管戶#94121-二代健保機補</t>
  </si>
  <si>
    <t>BA0006  應付代收款-保管戶#94121-代收所得稅</t>
  </si>
  <si>
    <t>BA0005  應付代收款-保管戶#94121-代收勞工退休金</t>
  </si>
  <si>
    <t>BA0004  應付代收款-保管戶#94121-代收勞保費</t>
  </si>
  <si>
    <t>BA0002  應付代收款-保管戶#94121-代收公保費</t>
  </si>
  <si>
    <t>BA0001  應付代收款-保管戶#94121-代收退撫金</t>
  </si>
  <si>
    <t>AA0002  應付代收款-零用戶#94046-其他</t>
  </si>
  <si>
    <t>AA0001  應付代收款-零用戶#94046-零用金</t>
  </si>
  <si>
    <t>收支結存數(不含已簽證尚未支付)(H)=(G)-(E)</t>
  </si>
  <si>
    <t>收支結存數(含扣除未過帳)(G)=(F)-(D)</t>
  </si>
  <si>
    <t>收支結存數(含已過帳)(F)=(A)-(C)</t>
  </si>
  <si>
    <t>已簽證尚未支付數(E)</t>
  </si>
  <si>
    <t>未過帳(D)</t>
  </si>
  <si>
    <t>累計實現數 (C )</t>
  </si>
  <si>
    <t>簽證總數(B)</t>
  </si>
  <si>
    <t>累計收入(A)</t>
  </si>
  <si>
    <t>預算科目/用途別</t>
  </si>
  <si>
    <t>中華民國113年1月1日至113年1月31日</t>
  </si>
  <si>
    <t>代收代辦經費收支餘額表</t>
  </si>
  <si>
    <t>彰化縣地方教育發展基金－彰化縣秀水鄉馬興國民小學</t>
  </si>
  <si>
    <t>175-1</t>
  </si>
  <si>
    <t/>
  </si>
  <si>
    <t>13992330152422</t>
  </si>
  <si>
    <t>00007</t>
  </si>
  <si>
    <t>00008</t>
  </si>
  <si>
    <t>13998330154105</t>
  </si>
  <si>
    <t>00010</t>
  </si>
  <si>
    <t>00011</t>
  </si>
  <si>
    <t>00012</t>
  </si>
  <si>
    <t>淨資產調整數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</si>
</sst>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  <numFmt numFmtId="184" formatCode="0.00_ "/>
  </numFmts>
  <fonts count="111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color theme="9" tint="-0.249977111117893"/>
      <name val="標楷體"/>
      <family val="4"/>
      <charset val="136"/>
    </font>
    <font>
      <sz val="12"/>
      <color theme="0" tint="-4.9989318521683403E-2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b/>
      <sz val="10.5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sz val="11"/>
      <color indexed="8"/>
      <name val="新細明體"/>
      <family val="1"/>
      <charset val="136"/>
    </font>
    <font>
      <sz val="10.5"/>
      <name val="新細明體"/>
      <family val="1"/>
      <charset val="136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5" fillId="0" borderId="0">
      <alignment vertical="top"/>
    </xf>
    <xf numFmtId="0" fontId="23" fillId="0" borderId="0"/>
    <xf numFmtId="176" fontId="58" fillId="0" borderId="0">
      <alignment vertical="center" wrapText="1"/>
    </xf>
    <xf numFmtId="0" fontId="2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909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0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Fill="1" applyBorder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3" fontId="27" fillId="0" borderId="0" xfId="3" applyNumberFormat="1" applyFont="1" applyFill="1">
      <alignment vertical="center"/>
    </xf>
    <xf numFmtId="0" fontId="23" fillId="0" borderId="0" xfId="5" applyProtection="1">
      <protection locked="0"/>
    </xf>
    <xf numFmtId="177" fontId="23" fillId="0" borderId="0" xfId="8" applyNumberFormat="1" applyFont="1" applyAlignment="1" applyProtection="1">
      <protection locked="0"/>
    </xf>
    <xf numFmtId="0" fontId="23" fillId="0" borderId="0" xfId="6"/>
    <xf numFmtId="49" fontId="23" fillId="0" borderId="0" xfId="6" applyNumberFormat="1" applyBorder="1"/>
    <xf numFmtId="0" fontId="23" fillId="0" borderId="0" xfId="6" applyBorder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49" fontId="23" fillId="0" borderId="0" xfId="6" applyNumberFormat="1" applyBorder="1" applyAlignment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 applyAlignment="1"/>
    <xf numFmtId="0" fontId="23" fillId="0" borderId="2" xfId="6" applyBorder="1"/>
    <xf numFmtId="0" fontId="23" fillId="0" borderId="9" xfId="6" applyBorder="1"/>
    <xf numFmtId="0" fontId="23" fillId="0" borderId="0" xfId="6" applyFont="1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6" applyNumberFormat="1"/>
    <xf numFmtId="49" fontId="23" fillId="0" borderId="0" xfId="3" applyNumberFormat="1" applyFont="1">
      <alignment vertical="center"/>
    </xf>
    <xf numFmtId="0" fontId="23" fillId="0" borderId="0" xfId="3" applyFont="1">
      <alignment vertical="center"/>
    </xf>
    <xf numFmtId="177" fontId="17" fillId="0" borderId="0" xfId="8" applyNumberFormat="1" applyFont="1">
      <alignment vertical="center"/>
    </xf>
    <xf numFmtId="49" fontId="23" fillId="0" borderId="0" xfId="5" applyNumberFormat="1" applyFont="1" applyProtection="1">
      <protection locked="0"/>
    </xf>
    <xf numFmtId="0" fontId="23" fillId="0" borderId="0" xfId="5" applyFont="1" applyProtection="1">
      <protection locked="0"/>
    </xf>
    <xf numFmtId="0" fontId="35" fillId="0" borderId="3" xfId="5" applyFont="1" applyBorder="1" applyProtection="1">
      <protection locked="0"/>
    </xf>
    <xf numFmtId="0" fontId="35" fillId="0" borderId="5" xfId="5" applyFont="1" applyBorder="1" applyProtection="1">
      <protection locked="0"/>
    </xf>
    <xf numFmtId="0" fontId="35" fillId="0" borderId="0" xfId="5" applyFont="1" applyProtection="1">
      <protection locked="0"/>
    </xf>
    <xf numFmtId="0" fontId="35" fillId="0" borderId="0" xfId="5" applyFont="1" applyBorder="1" applyProtection="1">
      <protection locked="0"/>
    </xf>
    <xf numFmtId="0" fontId="35" fillId="0" borderId="3" xfId="5" applyFont="1" applyBorder="1" applyAlignme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6" fillId="0" borderId="0" xfId="0" applyFont="1">
      <alignment vertical="top"/>
    </xf>
    <xf numFmtId="0" fontId="37" fillId="0" borderId="0" xfId="0" applyFont="1">
      <alignment vertical="top"/>
    </xf>
    <xf numFmtId="0" fontId="37" fillId="0" borderId="0" xfId="0" applyFont="1" applyAlignment="1">
      <alignment horizontal="center" vertical="top"/>
    </xf>
    <xf numFmtId="177" fontId="23" fillId="0" borderId="0" xfId="5" applyNumberFormat="1" applyFont="1" applyProtection="1">
      <protection locked="0"/>
    </xf>
    <xf numFmtId="0" fontId="23" fillId="0" borderId="0" xfId="5" applyFont="1" applyAlignment="1" applyProtection="1">
      <alignment horizontal="center" vertical="center"/>
      <protection locked="0"/>
    </xf>
    <xf numFmtId="177" fontId="23" fillId="0" borderId="0" xfId="8" applyNumberFormat="1" applyFont="1" applyAlignment="1" applyProtection="1">
      <alignment horizontal="center" vertical="center"/>
      <protection locked="0"/>
    </xf>
    <xf numFmtId="177" fontId="23" fillId="0" borderId="0" xfId="5" applyNumberFormat="1" applyAlignment="1" applyProtection="1">
      <alignment horizontal="center" vertical="center"/>
      <protection locked="0"/>
    </xf>
    <xf numFmtId="0" fontId="23" fillId="0" borderId="0" xfId="5" applyAlignment="1" applyProtection="1">
      <alignment horizontal="center" vertical="center"/>
      <protection locked="0"/>
    </xf>
    <xf numFmtId="0" fontId="37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8" fillId="3" borderId="20" xfId="0" applyFont="1" applyFill="1" applyBorder="1" applyAlignment="1">
      <alignment horizontal="center" vertical="top" wrapText="1"/>
    </xf>
    <xf numFmtId="0" fontId="19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 applyAlignment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9" fillId="0" borderId="10" xfId="0" applyFont="1" applyBorder="1" applyAlignment="1"/>
    <xf numFmtId="0" fontId="49" fillId="0" borderId="11" xfId="0" applyFont="1" applyBorder="1" applyAlignment="1"/>
    <xf numFmtId="3" fontId="49" fillId="0" borderId="11" xfId="0" applyNumberFormat="1" applyFont="1" applyBorder="1" applyAlignment="1">
      <alignment horizontal="right" wrapText="1"/>
    </xf>
    <xf numFmtId="4" fontId="49" fillId="0" borderId="11" xfId="0" applyNumberFormat="1" applyFont="1" applyBorder="1" applyAlignment="1">
      <alignment horizontal="right" wrapText="1"/>
    </xf>
    <xf numFmtId="0" fontId="49" fillId="0" borderId="12" xfId="1" applyFont="1" applyBorder="1" applyAlignment="1">
      <alignment vertical="top"/>
    </xf>
    <xf numFmtId="176" fontId="51" fillId="0" borderId="1" xfId="3" applyNumberFormat="1" applyFont="1" applyFill="1" applyBorder="1">
      <alignment vertical="center"/>
    </xf>
    <xf numFmtId="176" fontId="51" fillId="2" borderId="1" xfId="3" applyNumberFormat="1" applyFont="1" applyFill="1" applyBorder="1">
      <alignment vertical="center"/>
    </xf>
    <xf numFmtId="176" fontId="51" fillId="0" borderId="1" xfId="3" applyNumberFormat="1" applyFont="1" applyBorder="1">
      <alignment vertical="center"/>
    </xf>
    <xf numFmtId="49" fontId="52" fillId="0" borderId="0" xfId="3" applyNumberFormat="1" applyFont="1">
      <alignment vertical="center"/>
    </xf>
    <xf numFmtId="0" fontId="52" fillId="0" borderId="0" xfId="3" applyFont="1">
      <alignment vertical="center"/>
    </xf>
    <xf numFmtId="177" fontId="53" fillId="0" borderId="0" xfId="8" applyNumberFormat="1" applyFont="1">
      <alignment vertical="center"/>
    </xf>
    <xf numFmtId="3" fontId="50" fillId="0" borderId="12" xfId="1" applyNumberFormat="1" applyFont="1" applyBorder="1" applyAlignment="1">
      <alignment horizontal="right" vertical="top" wrapText="1"/>
    </xf>
    <xf numFmtId="2" fontId="50" fillId="0" borderId="8" xfId="1" applyNumberFormat="1" applyFont="1" applyBorder="1" applyAlignment="1">
      <alignment horizontal="right" vertical="top" wrapText="1"/>
    </xf>
    <xf numFmtId="2" fontId="50" fillId="0" borderId="9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 applyAlignment="1">
      <alignment vertical="top"/>
    </xf>
    <xf numFmtId="176" fontId="8" fillId="0" borderId="0" xfId="0" applyNumberFormat="1" applyFont="1" applyBorder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6" xfId="0" applyNumberFormat="1" applyFont="1" applyBorder="1">
      <alignment vertical="top"/>
    </xf>
    <xf numFmtId="176" fontId="8" fillId="0" borderId="8" xfId="0" applyNumberFormat="1" applyFont="1" applyBorder="1" applyAlignment="1">
      <alignment vertical="top"/>
    </xf>
    <xf numFmtId="176" fontId="8" fillId="0" borderId="2" xfId="0" applyNumberFormat="1" applyFont="1" applyBorder="1" applyAlignment="1">
      <alignment vertical="top"/>
    </xf>
    <xf numFmtId="176" fontId="8" fillId="0" borderId="9" xfId="0" applyNumberFormat="1" applyFont="1" applyBorder="1" applyAlignment="1">
      <alignment vertical="top"/>
    </xf>
    <xf numFmtId="176" fontId="8" fillId="0" borderId="8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50" fillId="0" borderId="1" xfId="1" applyNumberFormat="1" applyFont="1" applyBorder="1" applyAlignment="1">
      <alignment horizontal="right" vertical="top" wrapText="1"/>
    </xf>
    <xf numFmtId="0" fontId="50" fillId="0" borderId="1" xfId="1" applyFont="1" applyBorder="1" applyAlignment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1" fillId="0" borderId="0" xfId="1" applyNumberFormat="1">
      <alignment vertical="top"/>
    </xf>
    <xf numFmtId="0" fontId="7" fillId="0" borderId="16" xfId="0" applyFont="1" applyBorder="1" applyAlignment="1">
      <alignment horizontal="justify" vertical="top" wrapText="1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11" fillId="0" borderId="7" xfId="1" applyBorder="1" applyAlignment="1">
      <alignment vertical="top"/>
    </xf>
    <xf numFmtId="0" fontId="11" fillId="0" borderId="0" xfId="1" applyAlignment="1">
      <alignment vertical="top"/>
    </xf>
    <xf numFmtId="0" fontId="11" fillId="0" borderId="9" xfId="1" applyBorder="1" applyAlignment="1">
      <alignment vertical="top"/>
    </xf>
    <xf numFmtId="0" fontId="7" fillId="0" borderId="12" xfId="1" applyFont="1" applyBorder="1" applyAlignment="1">
      <alignment horizontal="center" vertical="top" wrapText="1"/>
    </xf>
    <xf numFmtId="0" fontId="47" fillId="0" borderId="15" xfId="1" applyFont="1" applyBorder="1" applyAlignment="1">
      <alignment vertical="top"/>
    </xf>
    <xf numFmtId="0" fontId="11" fillId="0" borderId="12" xfId="1" applyBorder="1" applyAlignment="1">
      <alignment vertical="top"/>
    </xf>
    <xf numFmtId="0" fontId="11" fillId="0" borderId="1" xfId="1" applyBorder="1" applyAlignment="1">
      <alignment vertical="top"/>
    </xf>
    <xf numFmtId="0" fontId="7" fillId="0" borderId="11" xfId="1" applyFont="1" applyBorder="1" applyAlignment="1">
      <alignment horizontal="center" vertical="top" wrapText="1"/>
    </xf>
    <xf numFmtId="0" fontId="11" fillId="0" borderId="15" xfId="1" applyBorder="1" applyAlignment="1">
      <alignment vertical="top"/>
    </xf>
    <xf numFmtId="177" fontId="47" fillId="0" borderId="0" xfId="7" applyNumberFormat="1" applyFont="1" applyFill="1">
      <alignment vertical="top"/>
    </xf>
    <xf numFmtId="0" fontId="35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3" fillId="0" borderId="0" xfId="5" applyFont="1" applyBorder="1" applyAlignment="1" applyProtection="1">
      <alignment horizontal="center" vertical="center" wrapText="1"/>
      <protection locked="0"/>
    </xf>
    <xf numFmtId="0" fontId="54" fillId="0" borderId="0" xfId="0" applyFont="1" applyFill="1" applyAlignment="1">
      <alignment vertical="top" wrapText="1"/>
    </xf>
    <xf numFmtId="177" fontId="54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 applyAlignment="1">
      <alignment vertical="top"/>
    </xf>
    <xf numFmtId="0" fontId="15" fillId="0" borderId="12" xfId="1" applyFont="1" applyBorder="1" applyAlignment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9" fillId="0" borderId="10" xfId="0" applyNumberFormat="1" applyFont="1" applyBorder="1" applyAlignment="1">
      <alignment horizontal="right" wrapText="1"/>
    </xf>
    <xf numFmtId="176" fontId="49" fillId="0" borderId="10" xfId="0" applyNumberFormat="1" applyFont="1" applyBorder="1" applyAlignment="1"/>
    <xf numFmtId="176" fontId="49" fillId="0" borderId="11" xfId="0" applyNumberFormat="1" applyFont="1" applyBorder="1" applyAlignment="1">
      <alignment horizontal="right" wrapText="1"/>
    </xf>
    <xf numFmtId="176" fontId="49" fillId="0" borderId="11" xfId="0" applyNumberFormat="1" applyFont="1" applyBorder="1" applyAlignment="1"/>
    <xf numFmtId="176" fontId="49" fillId="0" borderId="12" xfId="1" applyNumberFormat="1" applyFont="1" applyBorder="1" applyAlignment="1">
      <alignment vertical="top"/>
    </xf>
    <xf numFmtId="176" fontId="49" fillId="0" borderId="10" xfId="7" applyNumberFormat="1" applyFont="1" applyBorder="1" applyAlignment="1"/>
    <xf numFmtId="4" fontId="49" fillId="0" borderId="10" xfId="0" applyNumberFormat="1" applyFont="1" applyBorder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 vertical="top" wrapText="1"/>
    </xf>
    <xf numFmtId="177" fontId="47" fillId="0" borderId="0" xfId="7" applyNumberFormat="1" applyFont="1" applyAlignment="1">
      <alignment vertical="top" wrapText="1"/>
    </xf>
    <xf numFmtId="180" fontId="47" fillId="0" borderId="0" xfId="7" applyNumberFormat="1" applyFont="1" applyFill="1">
      <alignment vertical="top"/>
    </xf>
    <xf numFmtId="49" fontId="59" fillId="0" borderId="0" xfId="5" applyNumberFormat="1" applyFont="1" applyAlignment="1" applyProtection="1">
      <alignment horizontal="center" vertical="center"/>
      <protection locked="0"/>
    </xf>
    <xf numFmtId="0" fontId="59" fillId="0" borderId="0" xfId="5" applyFont="1" applyAlignment="1" applyProtection="1">
      <alignment horizontal="center" vertical="center"/>
      <protection locked="0"/>
    </xf>
    <xf numFmtId="177" fontId="59" fillId="0" borderId="0" xfId="8" applyNumberFormat="1" applyFont="1" applyAlignment="1" applyProtection="1">
      <alignment horizontal="center" vertical="center" wrapText="1"/>
      <protection locked="0"/>
    </xf>
    <xf numFmtId="177" fontId="59" fillId="0" borderId="0" xfId="8" applyNumberFormat="1" applyFont="1" applyAlignment="1" applyProtection="1">
      <alignment horizontal="center" vertical="center"/>
      <protection locked="0"/>
    </xf>
    <xf numFmtId="49" fontId="59" fillId="0" borderId="0" xfId="12" applyNumberFormat="1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horizontal="right" vertical="center" wrapText="1"/>
    </xf>
    <xf numFmtId="49" fontId="59" fillId="0" borderId="0" xfId="3" applyNumberFormat="1" applyFont="1">
      <alignment vertical="center"/>
    </xf>
    <xf numFmtId="177" fontId="47" fillId="0" borderId="0" xfId="8" applyNumberFormat="1" applyFont="1">
      <alignment vertical="center"/>
    </xf>
    <xf numFmtId="177" fontId="47" fillId="0" borderId="0" xfId="7" applyNumberFormat="1" applyFont="1" applyFill="1" applyAlignment="1">
      <alignment horizontal="center" vertical="top" wrapText="1"/>
    </xf>
    <xf numFmtId="177" fontId="57" fillId="0" borderId="0" xfId="7" applyNumberFormat="1" applyFont="1" applyFill="1">
      <alignment vertical="top"/>
    </xf>
    <xf numFmtId="180" fontId="47" fillId="4" borderId="0" xfId="7" applyNumberFormat="1" applyFont="1" applyFill="1">
      <alignment vertical="top"/>
    </xf>
    <xf numFmtId="180" fontId="47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3" fillId="0" borderId="0" xfId="5" applyNumberFormat="1" applyAlignment="1" applyProtection="1">
      <alignment horizontal="center" vertical="center"/>
      <protection locked="0"/>
    </xf>
    <xf numFmtId="180" fontId="61" fillId="0" borderId="1" xfId="8" applyNumberFormat="1" applyFont="1" applyBorder="1" applyAlignment="1" applyProtection="1">
      <protection locked="0"/>
    </xf>
    <xf numFmtId="180" fontId="55" fillId="0" borderId="1" xfId="8" applyNumberFormat="1" applyFont="1" applyBorder="1" applyAlignment="1" applyProtection="1">
      <protection locked="0"/>
    </xf>
    <xf numFmtId="180" fontId="23" fillId="0" borderId="1" xfId="8" applyNumberFormat="1" applyFont="1" applyBorder="1" applyAlignment="1" applyProtection="1">
      <protection locked="0"/>
    </xf>
    <xf numFmtId="180" fontId="23" fillId="0" borderId="0" xfId="8" applyNumberFormat="1" applyFont="1" applyAlignment="1" applyProtection="1">
      <protection locked="0"/>
    </xf>
    <xf numFmtId="180" fontId="60" fillId="0" borderId="1" xfId="8" applyNumberFormat="1" applyFont="1" applyBorder="1" applyAlignment="1" applyProtection="1">
      <alignment wrapText="1"/>
      <protection locked="0"/>
    </xf>
    <xf numFmtId="0" fontId="40" fillId="0" borderId="0" xfId="1" applyFont="1">
      <alignment vertical="top"/>
    </xf>
    <xf numFmtId="0" fontId="49" fillId="0" borderId="4" xfId="0" applyFont="1" applyBorder="1" applyAlignment="1"/>
    <xf numFmtId="0" fontId="49" fillId="0" borderId="6" xfId="0" applyFont="1" applyBorder="1" applyAlignment="1"/>
    <xf numFmtId="176" fontId="49" fillId="0" borderId="5" xfId="0" applyNumberFormat="1" applyFont="1" applyBorder="1" applyAlignment="1">
      <alignment horizontal="right" wrapText="1"/>
    </xf>
    <xf numFmtId="176" fontId="49" fillId="0" borderId="7" xfId="0" applyNumberFormat="1" applyFont="1" applyBorder="1" applyAlignment="1"/>
    <xf numFmtId="176" fontId="49" fillId="0" borderId="7" xfId="0" applyNumberFormat="1" applyFont="1" applyBorder="1" applyAlignment="1">
      <alignment horizontal="right" wrapText="1"/>
    </xf>
    <xf numFmtId="176" fontId="49" fillId="0" borderId="4" xfId="0" applyNumberFormat="1" applyFont="1" applyBorder="1" applyAlignment="1">
      <alignment horizontal="right" wrapText="1"/>
    </xf>
    <xf numFmtId="176" fontId="49" fillId="0" borderId="6" xfId="0" applyNumberFormat="1" applyFont="1" applyBorder="1" applyAlignment="1">
      <alignment horizontal="right" wrapText="1"/>
    </xf>
    <xf numFmtId="0" fontId="62" fillId="0" borderId="0" xfId="1" applyFont="1">
      <alignment vertical="top"/>
    </xf>
    <xf numFmtId="0" fontId="62" fillId="0" borderId="0" xfId="1" applyFont="1" applyAlignment="1">
      <alignment horizontal="center" vertical="center"/>
    </xf>
    <xf numFmtId="0" fontId="55" fillId="0" borderId="0" xfId="5" applyFont="1" applyAlignment="1" applyProtection="1">
      <alignment horizontal="center" vertical="center"/>
      <protection locked="0"/>
    </xf>
    <xf numFmtId="177" fontId="50" fillId="0" borderId="0" xfId="8" applyNumberFormat="1" applyFont="1">
      <alignment vertical="center"/>
    </xf>
    <xf numFmtId="177" fontId="55" fillId="0" borderId="0" xfId="8" applyNumberFormat="1" applyFont="1" applyAlignment="1" applyProtection="1">
      <protection locked="0"/>
    </xf>
    <xf numFmtId="0" fontId="55" fillId="0" borderId="0" xfId="5" applyFont="1" applyProtection="1">
      <protection locked="0"/>
    </xf>
    <xf numFmtId="49" fontId="64" fillId="0" borderId="0" xfId="3" applyNumberFormat="1" applyFont="1">
      <alignment vertical="center"/>
    </xf>
    <xf numFmtId="0" fontId="64" fillId="0" borderId="0" xfId="3" applyFont="1">
      <alignment vertical="center"/>
    </xf>
    <xf numFmtId="177" fontId="67" fillId="0" borderId="1" xfId="8" applyNumberFormat="1" applyFont="1" applyBorder="1">
      <alignment vertical="center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9" fillId="0" borderId="1" xfId="1" applyNumberFormat="1" applyFont="1" applyBorder="1" applyAlignment="1">
      <alignment horizontal="right" vertical="center"/>
    </xf>
    <xf numFmtId="180" fontId="49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1" xfId="1" applyFont="1" applyBorder="1" applyAlignment="1">
      <alignment horizontal="center" vertical="center" wrapText="1" readingOrder="1"/>
    </xf>
    <xf numFmtId="3" fontId="50" fillId="0" borderId="8" xfId="1" applyNumberFormat="1" applyFont="1" applyBorder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0" fontId="19" fillId="0" borderId="0" xfId="1" applyFont="1" applyAlignment="1">
      <alignment horizontal="center" vertical="top" wrapText="1"/>
    </xf>
    <xf numFmtId="177" fontId="69" fillId="0" borderId="0" xfId="7" applyNumberFormat="1" applyFont="1">
      <alignment vertical="top"/>
    </xf>
    <xf numFmtId="0" fontId="70" fillId="0" borderId="0" xfId="1" applyFont="1">
      <alignment vertical="top"/>
    </xf>
    <xf numFmtId="0" fontId="19" fillId="0" borderId="0" xfId="1" applyFont="1" applyAlignment="1">
      <alignment horizontal="center" vertical="top" wrapText="1"/>
    </xf>
    <xf numFmtId="177" fontId="73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5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6" fillId="0" borderId="10" xfId="0" applyFont="1" applyBorder="1">
      <alignment vertical="top"/>
    </xf>
    <xf numFmtId="0" fontId="76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40" fillId="0" borderId="0" xfId="1" applyNumberFormat="1" applyFont="1">
      <alignment vertical="top"/>
    </xf>
    <xf numFmtId="177" fontId="79" fillId="0" borderId="0" xfId="7" applyNumberFormat="1" applyFont="1">
      <alignment vertical="top"/>
    </xf>
    <xf numFmtId="3" fontId="78" fillId="0" borderId="0" xfId="1" applyNumberFormat="1" applyFont="1">
      <alignment vertical="top"/>
    </xf>
    <xf numFmtId="3" fontId="80" fillId="0" borderId="0" xfId="1" applyNumberFormat="1" applyFont="1">
      <alignment vertical="top"/>
    </xf>
    <xf numFmtId="177" fontId="80" fillId="0" borderId="0" xfId="1" applyNumberFormat="1" applyFont="1">
      <alignment vertical="top"/>
    </xf>
    <xf numFmtId="180" fontId="78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3" xfId="0" applyFont="1" applyBorder="1">
      <alignment vertical="top"/>
    </xf>
    <xf numFmtId="0" fontId="8" fillId="0" borderId="1" xfId="1" applyFont="1" applyBorder="1" applyAlignment="1">
      <alignment vertical="top"/>
    </xf>
    <xf numFmtId="0" fontId="8" fillId="0" borderId="13" xfId="1" applyFont="1" applyBorder="1" applyAlignment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0" fontId="8" fillId="0" borderId="0" xfId="1" applyFont="1" applyAlignment="1">
      <alignment vertical="top"/>
    </xf>
    <xf numFmtId="0" fontId="8" fillId="0" borderId="15" xfId="1" applyFont="1" applyBorder="1" applyAlignment="1">
      <alignment vertical="top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8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1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60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82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82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2" fillId="0" borderId="1" xfId="7" applyNumberFormat="1" applyFont="1" applyBorder="1" applyAlignment="1">
      <alignment wrapText="1"/>
    </xf>
    <xf numFmtId="177" fontId="82" fillId="8" borderId="1" xfId="7" applyNumberFormat="1" applyFont="1" applyFill="1" applyBorder="1" applyAlignment="1" applyProtection="1">
      <alignment horizontal="right"/>
    </xf>
    <xf numFmtId="0" fontId="23" fillId="0" borderId="1" xfId="13" applyFont="1" applyFill="1" applyBorder="1" applyAlignment="1" applyProtection="1">
      <alignment horizontal="center" wrapText="1"/>
      <protection locked="0"/>
    </xf>
    <xf numFmtId="177" fontId="82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Font="1" applyFill="1" applyBorder="1" applyAlignment="1" applyProtection="1">
      <alignment horizontal="center" vertical="top" wrapText="1"/>
      <protection locked="0"/>
    </xf>
    <xf numFmtId="177" fontId="82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Font="1" applyFill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2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83" fillId="0" borderId="0" xfId="7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83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4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5" fillId="0" borderId="15" xfId="0" applyFont="1" applyBorder="1" applyAlignment="1" applyProtection="1">
      <protection locked="0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19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6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0" fontId="0" fillId="0" borderId="12" xfId="0" applyBorder="1" applyAlignment="1">
      <alignment vertical="top"/>
    </xf>
    <xf numFmtId="0" fontId="85" fillId="0" borderId="0" xfId="1" applyFont="1">
      <alignment vertical="top"/>
    </xf>
    <xf numFmtId="177" fontId="85" fillId="0" borderId="0" xfId="7" applyNumberFormat="1" applyFont="1">
      <alignment vertical="top"/>
    </xf>
    <xf numFmtId="0" fontId="8" fillId="0" borderId="6" xfId="1" applyFont="1" applyBorder="1">
      <alignment vertical="top"/>
    </xf>
    <xf numFmtId="0" fontId="8" fillId="0" borderId="0" xfId="1" applyFont="1" applyBorder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5" fillId="0" borderId="6" xfId="0" applyFont="1" applyBorder="1">
      <alignment vertical="top"/>
    </xf>
    <xf numFmtId="180" fontId="53" fillId="0" borderId="6" xfId="1" applyNumberFormat="1" applyFont="1" applyBorder="1" applyAlignment="1">
      <alignment horizontal="right" vertical="center"/>
    </xf>
    <xf numFmtId="180" fontId="7" fillId="0" borderId="0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horizontal="right" vertical="center"/>
    </xf>
    <xf numFmtId="180" fontId="53" fillId="0" borderId="6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vertical="center"/>
    </xf>
    <xf numFmtId="0" fontId="7" fillId="0" borderId="0" xfId="1" applyFont="1">
      <alignment vertical="top"/>
    </xf>
    <xf numFmtId="177" fontId="87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0" fontId="7" fillId="0" borderId="11" xfId="1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 applyAlignment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9" fillId="0" borderId="0" xfId="7" applyNumberFormat="1" applyFont="1" applyBorder="1" applyAlignment="1" applyProtection="1">
      <alignment vertical="center" wrapText="1"/>
    </xf>
    <xf numFmtId="177" fontId="51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9" fillId="0" borderId="0" xfId="7" applyNumberFormat="1" applyFont="1" applyAlignment="1">
      <alignment vertical="center"/>
    </xf>
    <xf numFmtId="177" fontId="64" fillId="0" borderId="0" xfId="7" applyNumberFormat="1" applyFont="1" applyAlignment="1">
      <alignment vertical="center"/>
    </xf>
    <xf numFmtId="177" fontId="51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7" fillId="0" borderId="12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6" fillId="0" borderId="10" xfId="7" applyNumberFormat="1" applyFont="1" applyBorder="1" applyAlignment="1">
      <alignment vertical="top"/>
    </xf>
    <xf numFmtId="180" fontId="46" fillId="0" borderId="10" xfId="1" applyNumberFormat="1" applyFont="1" applyBorder="1" applyAlignment="1">
      <alignment vertical="top"/>
    </xf>
    <xf numFmtId="180" fontId="46" fillId="0" borderId="10" xfId="14" applyNumberFormat="1" applyFont="1" applyBorder="1" applyAlignment="1">
      <alignment vertical="top"/>
    </xf>
    <xf numFmtId="180" fontId="46" fillId="0" borderId="4" xfId="14" applyNumberFormat="1" applyFont="1" applyBorder="1" applyAlignment="1">
      <alignment vertical="top"/>
    </xf>
    <xf numFmtId="180" fontId="11" fillId="0" borderId="5" xfId="1" applyNumberFormat="1" applyBorder="1" applyAlignment="1">
      <alignment vertical="top"/>
    </xf>
    <xf numFmtId="180" fontId="11" fillId="0" borderId="4" xfId="1" applyNumberFormat="1" applyBorder="1" applyAlignment="1">
      <alignment vertical="top"/>
    </xf>
    <xf numFmtId="180" fontId="11" fillId="0" borderId="3" xfId="1" applyNumberFormat="1" applyBorder="1" applyAlignment="1">
      <alignment vertical="top"/>
    </xf>
    <xf numFmtId="180" fontId="46" fillId="0" borderId="11" xfId="7" applyNumberFormat="1" applyFont="1" applyBorder="1" applyAlignment="1">
      <alignment vertical="top"/>
    </xf>
    <xf numFmtId="180" fontId="46" fillId="0" borderId="11" xfId="1" applyNumberFormat="1" applyFont="1" applyBorder="1" applyAlignment="1">
      <alignment vertical="top"/>
    </xf>
    <xf numFmtId="180" fontId="46" fillId="0" borderId="11" xfId="14" applyNumberFormat="1" applyFont="1" applyBorder="1" applyAlignment="1">
      <alignment vertical="top"/>
    </xf>
    <xf numFmtId="180" fontId="46" fillId="0" borderId="6" xfId="14" applyNumberFormat="1" applyFont="1" applyBorder="1" applyAlignment="1">
      <alignment vertical="top"/>
    </xf>
    <xf numFmtId="180" fontId="11" fillId="0" borderId="7" xfId="1" applyNumberFormat="1" applyBorder="1" applyAlignment="1">
      <alignment vertical="top"/>
    </xf>
    <xf numFmtId="180" fontId="11" fillId="0" borderId="6" xfId="1" applyNumberFormat="1" applyBorder="1" applyAlignment="1">
      <alignment vertical="top"/>
    </xf>
    <xf numFmtId="180" fontId="11" fillId="0" borderId="0" xfId="1" applyNumberFormat="1" applyBorder="1" applyAlignment="1">
      <alignment vertical="top"/>
    </xf>
    <xf numFmtId="180" fontId="46" fillId="0" borderId="11" xfId="1" applyNumberFormat="1" applyFont="1" applyBorder="1" applyAlignment="1">
      <alignment horizontal="right" vertical="top" wrapText="1"/>
    </xf>
    <xf numFmtId="180" fontId="46" fillId="0" borderId="11" xfId="14" applyNumberFormat="1" applyFont="1" applyBorder="1" applyAlignment="1">
      <alignment horizontal="right" vertical="top" wrapText="1"/>
    </xf>
    <xf numFmtId="180" fontId="46" fillId="0" borderId="6" xfId="14" applyNumberFormat="1" applyFont="1" applyBorder="1" applyAlignment="1">
      <alignment horizontal="right" vertical="top" wrapText="1"/>
    </xf>
    <xf numFmtId="180" fontId="21" fillId="0" borderId="6" xfId="1" applyNumberFormat="1" applyFont="1" applyBorder="1" applyAlignment="1">
      <alignment horizontal="left" vertical="top" wrapText="1"/>
    </xf>
    <xf numFmtId="180" fontId="21" fillId="0" borderId="0" xfId="1" applyNumberFormat="1" applyFont="1" applyBorder="1" applyAlignment="1">
      <alignment horizontal="left" vertical="top" wrapText="1"/>
    </xf>
    <xf numFmtId="180" fontId="46" fillId="0" borderId="12" xfId="1" applyNumberFormat="1" applyFont="1" applyBorder="1" applyAlignment="1">
      <alignment vertical="top"/>
    </xf>
    <xf numFmtId="180" fontId="46" fillId="0" borderId="12" xfId="1" applyNumberFormat="1" applyFont="1" applyBorder="1" applyAlignment="1">
      <alignment horizontal="right" vertical="top" wrapText="1"/>
    </xf>
    <xf numFmtId="180" fontId="46" fillId="0" borderId="12" xfId="14" applyNumberFormat="1" applyFont="1" applyBorder="1" applyAlignment="1">
      <alignment horizontal="right" vertical="top" wrapText="1"/>
    </xf>
    <xf numFmtId="180" fontId="46" fillId="0" borderId="8" xfId="14" applyNumberFormat="1" applyFont="1" applyBorder="1" applyAlignment="1">
      <alignment horizontal="right" vertical="top" wrapText="1"/>
    </xf>
    <xf numFmtId="180" fontId="11" fillId="0" borderId="9" xfId="1" applyNumberFormat="1" applyBorder="1" applyAlignment="1">
      <alignment vertical="top"/>
    </xf>
    <xf numFmtId="180" fontId="11" fillId="0" borderId="8" xfId="1" applyNumberFormat="1" applyBorder="1" applyAlignment="1">
      <alignment vertical="top"/>
    </xf>
    <xf numFmtId="180" fontId="11" fillId="0" borderId="2" xfId="1" applyNumberFormat="1" applyBorder="1" applyAlignment="1">
      <alignment vertical="top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9" fillId="0" borderId="7" xfId="0" applyNumberFormat="1" applyFont="1" applyBorder="1" applyAlignment="1">
      <alignment horizontal="right" wrapText="1"/>
    </xf>
    <xf numFmtId="3" fontId="22" fillId="0" borderId="6" xfId="0" applyNumberFormat="1" applyFont="1" applyBorder="1" applyAlignment="1">
      <alignment horizontal="right" vertical="top" wrapText="1"/>
    </xf>
    <xf numFmtId="3" fontId="22" fillId="0" borderId="0" xfId="0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0" fontId="8" fillId="0" borderId="11" xfId="0" applyFont="1" applyBorder="1" applyAlignment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7" fillId="0" borderId="6" xfId="0" applyFont="1" applyBorder="1" applyAlignment="1">
      <alignment vertical="top"/>
    </xf>
    <xf numFmtId="0" fontId="85" fillId="0" borderId="6" xfId="0" applyFont="1" applyBorder="1" applyAlignment="1">
      <alignment vertical="top"/>
    </xf>
    <xf numFmtId="0" fontId="85" fillId="0" borderId="0" xfId="0" applyFont="1" applyBorder="1" applyAlignment="1">
      <alignment vertical="top"/>
    </xf>
    <xf numFmtId="0" fontId="85" fillId="0" borderId="7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77" fontId="7" fillId="0" borderId="0" xfId="7" applyNumberFormat="1" applyFont="1" applyBorder="1" applyAlignment="1">
      <alignment vertical="top"/>
    </xf>
    <xf numFmtId="177" fontId="7" fillId="0" borderId="7" xfId="7" applyNumberFormat="1" applyFont="1" applyBorder="1" applyAlignment="1">
      <alignment vertical="top"/>
    </xf>
    <xf numFmtId="176" fontId="7" fillId="0" borderId="7" xfId="7" applyNumberFormat="1" applyFont="1" applyBorder="1" applyAlignment="1">
      <alignment vertical="top"/>
    </xf>
    <xf numFmtId="176" fontId="7" fillId="0" borderId="0" xfId="0" applyNumberFormat="1" applyFont="1" applyBorder="1" applyAlignment="1">
      <alignment vertical="top"/>
    </xf>
    <xf numFmtId="176" fontId="7" fillId="0" borderId="7" xfId="7" applyNumberFormat="1" applyFont="1" applyBorder="1" applyAlignment="1">
      <alignment horizontal="right" vertical="top"/>
    </xf>
    <xf numFmtId="3" fontId="7" fillId="0" borderId="6" xfId="0" applyNumberFormat="1" applyFont="1" applyBorder="1" applyAlignment="1">
      <alignment horizontal="right" vertical="top"/>
    </xf>
    <xf numFmtId="3" fontId="7" fillId="0" borderId="0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horizontal="right" vertical="top"/>
    </xf>
    <xf numFmtId="176" fontId="7" fillId="0" borderId="11" xfId="7" applyNumberFormat="1" applyFont="1" applyBorder="1" applyAlignment="1">
      <alignment horizontal="right" vertical="top"/>
    </xf>
    <xf numFmtId="177" fontId="91" fillId="0" borderId="0" xfId="7" applyNumberFormat="1" applyFont="1" applyFill="1">
      <alignment vertical="top"/>
    </xf>
    <xf numFmtId="177" fontId="92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0" fontId="7" fillId="0" borderId="16" xfId="0" applyFont="1" applyBorder="1" applyAlignment="1">
      <alignment horizontal="justify" vertical="top" wrapText="1"/>
    </xf>
    <xf numFmtId="176" fontId="90" fillId="0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vertical="top"/>
    </xf>
    <xf numFmtId="176" fontId="90" fillId="9" borderId="12" xfId="7" applyNumberFormat="1" applyFont="1" applyFill="1" applyBorder="1" applyAlignment="1">
      <alignment horizontal="right" vertical="center"/>
    </xf>
    <xf numFmtId="0" fontId="47" fillId="0" borderId="0" xfId="0" applyFont="1" applyFill="1" applyAlignment="1">
      <alignment vertical="top" wrapText="1"/>
    </xf>
    <xf numFmtId="177" fontId="92" fillId="0" borderId="0" xfId="7" applyNumberFormat="1" applyFont="1" applyFill="1">
      <alignment vertical="top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7" fillId="0" borderId="1" xfId="0" applyFont="1" applyFill="1" applyBorder="1" applyAlignment="1">
      <alignment vertical="top" wrapText="1"/>
    </xf>
    <xf numFmtId="177" fontId="93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>
      <alignment vertical="top"/>
    </xf>
    <xf numFmtId="180" fontId="94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177" fontId="95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7" fillId="0" borderId="1" xfId="0" applyFont="1" applyBorder="1" applyAlignment="1">
      <alignment vertical="top" wrapText="1"/>
    </xf>
    <xf numFmtId="180" fontId="47" fillId="10" borderId="1" xfId="7" applyNumberFormat="1" applyFont="1" applyFill="1" applyBorder="1">
      <alignment vertical="top"/>
    </xf>
    <xf numFmtId="0" fontId="54" fillId="0" borderId="1" xfId="0" applyFont="1" applyFill="1" applyBorder="1" applyAlignment="1">
      <alignment vertical="top" wrapText="1"/>
    </xf>
    <xf numFmtId="177" fontId="47" fillId="0" borderId="1" xfId="7" applyNumberFormat="1" applyFont="1" applyBorder="1" applyAlignment="1">
      <alignment vertical="top" wrapText="1"/>
    </xf>
    <xf numFmtId="177" fontId="47" fillId="11" borderId="1" xfId="7" applyNumberFormat="1" applyFont="1" applyFill="1" applyBorder="1" applyAlignment="1">
      <alignment vertical="top" wrapText="1"/>
    </xf>
    <xf numFmtId="180" fontId="47" fillId="11" borderId="1" xfId="7" applyNumberFormat="1" applyFont="1" applyFill="1" applyBorder="1">
      <alignment vertical="top"/>
    </xf>
    <xf numFmtId="0" fontId="47" fillId="4" borderId="1" xfId="0" applyFont="1" applyFill="1" applyBorder="1" applyAlignment="1">
      <alignment vertical="top" wrapText="1"/>
    </xf>
    <xf numFmtId="177" fontId="47" fillId="4" borderId="1" xfId="7" applyNumberFormat="1" applyFont="1" applyFill="1" applyBorder="1" applyAlignment="1">
      <alignment vertical="top" wrapText="1"/>
    </xf>
    <xf numFmtId="180" fontId="47" fillId="4" borderId="1" xfId="7" applyNumberFormat="1" applyFont="1" applyFill="1" applyBorder="1">
      <alignment vertical="top"/>
    </xf>
    <xf numFmtId="0" fontId="48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1" xfId="0" applyNumberFormat="1" applyFont="1" applyBorder="1" applyAlignment="1">
      <alignment horizontal="right" vertical="top"/>
    </xf>
    <xf numFmtId="182" fontId="8" fillId="0" borderId="12" xfId="0" applyNumberFormat="1" applyFont="1" applyBorder="1" applyAlignment="1">
      <alignment vertical="top"/>
    </xf>
    <xf numFmtId="0" fontId="85" fillId="0" borderId="9" xfId="0" applyFont="1" applyFill="1" applyBorder="1" applyAlignment="1">
      <alignment vertical="top"/>
    </xf>
    <xf numFmtId="180" fontId="53" fillId="0" borderId="8" xfId="1" applyNumberFormat="1" applyFont="1" applyFill="1" applyBorder="1" applyAlignment="1">
      <alignment horizontal="right" vertical="center"/>
    </xf>
    <xf numFmtId="180" fontId="7" fillId="0" borderId="2" xfId="1" applyNumberFormat="1" applyFont="1" applyFill="1" applyBorder="1" applyAlignment="1">
      <alignment vertical="center"/>
    </xf>
    <xf numFmtId="180" fontId="53" fillId="0" borderId="2" xfId="1" applyNumberFormat="1" applyFont="1" applyFill="1" applyBorder="1" applyAlignment="1">
      <alignment horizontal="right" vertical="center"/>
    </xf>
    <xf numFmtId="176" fontId="7" fillId="0" borderId="9" xfId="7" applyNumberFormat="1" applyFont="1" applyFill="1" applyBorder="1" applyAlignment="1">
      <alignment vertical="top"/>
    </xf>
    <xf numFmtId="3" fontId="7" fillId="0" borderId="8" xfId="0" applyNumberFormat="1" applyFont="1" applyFill="1" applyBorder="1" applyAlignment="1">
      <alignment horizontal="right" vertical="top"/>
    </xf>
    <xf numFmtId="3" fontId="7" fillId="0" borderId="2" xfId="0" applyNumberFormat="1" applyFont="1" applyFill="1" applyBorder="1" applyAlignment="1">
      <alignment horizontal="right" vertical="top"/>
    </xf>
    <xf numFmtId="176" fontId="7" fillId="0" borderId="2" xfId="0" applyNumberFormat="1" applyFont="1" applyFill="1" applyBorder="1" applyAlignment="1">
      <alignment horizontal="right" vertical="top"/>
    </xf>
    <xf numFmtId="0" fontId="2" fillId="0" borderId="0" xfId="1" applyFont="1" applyFill="1">
      <alignment vertical="top"/>
    </xf>
    <xf numFmtId="177" fontId="7" fillId="12" borderId="5" xfId="7" applyNumberFormat="1" applyFont="1" applyFill="1" applyBorder="1">
      <alignment vertical="top"/>
    </xf>
    <xf numFmtId="3" fontId="22" fillId="12" borderId="4" xfId="0" applyNumberFormat="1" applyFont="1" applyFill="1" applyBorder="1" applyAlignment="1">
      <alignment horizontal="right" vertical="top" wrapText="1"/>
    </xf>
    <xf numFmtId="3" fontId="22" fillId="12" borderId="3" xfId="0" applyNumberFormat="1" applyFont="1" applyFill="1" applyBorder="1" applyAlignment="1">
      <alignment horizontal="right" vertical="top" wrapText="1"/>
    </xf>
    <xf numFmtId="176" fontId="7" fillId="12" borderId="5" xfId="7" applyNumberFormat="1" applyFont="1" applyFill="1" applyBorder="1" applyAlignment="1">
      <alignment horizontal="right" vertical="top"/>
    </xf>
    <xf numFmtId="3" fontId="7" fillId="12" borderId="4" xfId="0" applyNumberFormat="1" applyFont="1" applyFill="1" applyBorder="1" applyAlignment="1">
      <alignment horizontal="right" vertical="top"/>
    </xf>
    <xf numFmtId="3" fontId="7" fillId="12" borderId="3" xfId="0" applyNumberFormat="1" applyFont="1" applyFill="1" applyBorder="1" applyAlignment="1">
      <alignment horizontal="right" vertical="top"/>
    </xf>
    <xf numFmtId="176" fontId="7" fillId="12" borderId="3" xfId="0" applyNumberFormat="1" applyFont="1" applyFill="1" applyBorder="1" applyAlignment="1">
      <alignment horizontal="right" vertical="top"/>
    </xf>
    <xf numFmtId="177" fontId="2" fillId="12" borderId="0" xfId="7" applyNumberFormat="1" applyFont="1" applyFill="1">
      <alignment vertical="top"/>
    </xf>
    <xf numFmtId="0" fontId="7" fillId="12" borderId="6" xfId="0" applyFont="1" applyFill="1" applyBorder="1" applyAlignment="1">
      <alignment horizontal="left" vertical="top" wrapText="1"/>
    </xf>
    <xf numFmtId="3" fontId="22" fillId="12" borderId="6" xfId="0" applyNumberFormat="1" applyFont="1" applyFill="1" applyBorder="1" applyAlignment="1">
      <alignment horizontal="right" vertical="top" wrapText="1"/>
    </xf>
    <xf numFmtId="3" fontId="22" fillId="12" borderId="0" xfId="0" applyNumberFormat="1" applyFont="1" applyFill="1" applyBorder="1" applyAlignment="1">
      <alignment horizontal="right" vertical="top" wrapText="1"/>
    </xf>
    <xf numFmtId="176" fontId="7" fillId="12" borderId="7" xfId="7" applyNumberFormat="1" applyFont="1" applyFill="1" applyBorder="1" applyAlignment="1">
      <alignment horizontal="right" vertical="top"/>
    </xf>
    <xf numFmtId="3" fontId="7" fillId="12" borderId="6" xfId="0" applyNumberFormat="1" applyFont="1" applyFill="1" applyBorder="1" applyAlignment="1">
      <alignment horizontal="right" vertical="top"/>
    </xf>
    <xf numFmtId="3" fontId="7" fillId="12" borderId="0" xfId="0" applyNumberFormat="1" applyFont="1" applyFill="1" applyBorder="1" applyAlignment="1">
      <alignment horizontal="right" vertical="top"/>
    </xf>
    <xf numFmtId="176" fontId="7" fillId="12" borderId="0" xfId="0" applyNumberFormat="1" applyFont="1" applyFill="1" applyBorder="1" applyAlignment="1">
      <alignment horizontal="right" vertical="top"/>
    </xf>
    <xf numFmtId="0" fontId="7" fillId="12" borderId="6" xfId="0" applyFont="1" applyFill="1" applyBorder="1" applyAlignment="1">
      <alignment vertical="top"/>
    </xf>
    <xf numFmtId="0" fontId="85" fillId="12" borderId="6" xfId="0" applyFont="1" applyFill="1" applyBorder="1" applyAlignment="1">
      <alignment vertical="top"/>
    </xf>
    <xf numFmtId="0" fontId="2" fillId="12" borderId="0" xfId="1" applyFont="1" applyFill="1">
      <alignment vertical="top"/>
    </xf>
    <xf numFmtId="0" fontId="7" fillId="12" borderId="0" xfId="0" applyFont="1" applyFill="1" applyBorder="1" applyAlignment="1">
      <alignment vertical="top"/>
    </xf>
    <xf numFmtId="177" fontId="7" fillId="12" borderId="0" xfId="7" applyNumberFormat="1" applyFont="1" applyFill="1" applyBorder="1" applyAlignment="1">
      <alignment vertical="top"/>
    </xf>
    <xf numFmtId="177" fontId="7" fillId="12" borderId="7" xfId="7" applyNumberFormat="1" applyFont="1" applyFill="1" applyBorder="1" applyAlignment="1">
      <alignment vertical="top"/>
    </xf>
    <xf numFmtId="0" fontId="85" fillId="12" borderId="0" xfId="0" applyFont="1" applyFill="1" applyBorder="1" applyAlignment="1">
      <alignment vertical="top"/>
    </xf>
    <xf numFmtId="176" fontId="7" fillId="12" borderId="7" xfId="7" applyNumberFormat="1" applyFont="1" applyFill="1" applyBorder="1" applyAlignment="1">
      <alignment vertical="top"/>
    </xf>
    <xf numFmtId="176" fontId="7" fillId="12" borderId="0" xfId="0" applyNumberFormat="1" applyFont="1" applyFill="1" applyBorder="1" applyAlignment="1">
      <alignment vertical="top"/>
    </xf>
    <xf numFmtId="177" fontId="85" fillId="12" borderId="7" xfId="7" applyNumberFormat="1" applyFont="1" applyFill="1" applyBorder="1" applyAlignment="1">
      <alignment vertical="top"/>
    </xf>
    <xf numFmtId="0" fontId="7" fillId="12" borderId="0" xfId="0" applyFont="1" applyFill="1" applyBorder="1" applyAlignment="1">
      <alignment horizontal="left" vertical="top"/>
    </xf>
    <xf numFmtId="177" fontId="7" fillId="12" borderId="0" xfId="7" applyNumberFormat="1" applyFont="1" applyFill="1" applyBorder="1" applyAlignment="1">
      <alignment horizontal="left" vertical="top"/>
    </xf>
    <xf numFmtId="177" fontId="7" fillId="12" borderId="7" xfId="7" applyNumberFormat="1" applyFont="1" applyFill="1" applyBorder="1" applyAlignment="1">
      <alignment horizontal="left"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3" fontId="22" fillId="0" borderId="6" xfId="0" applyNumberFormat="1" applyFont="1" applyFill="1" applyBorder="1" applyAlignment="1">
      <alignment horizontal="right" vertical="top" wrapText="1"/>
    </xf>
    <xf numFmtId="3" fontId="22" fillId="0" borderId="0" xfId="0" applyNumberFormat="1" applyFont="1" applyFill="1" applyBorder="1" applyAlignment="1">
      <alignment horizontal="right" vertical="top" wrapText="1"/>
    </xf>
    <xf numFmtId="176" fontId="7" fillId="0" borderId="7" xfId="7" applyNumberFormat="1" applyFont="1" applyFill="1" applyBorder="1" applyAlignment="1">
      <alignment horizontal="right" vertical="top"/>
    </xf>
    <xf numFmtId="3" fontId="7" fillId="0" borderId="6" xfId="0" applyNumberFormat="1" applyFont="1" applyFill="1" applyBorder="1" applyAlignment="1">
      <alignment horizontal="right" vertical="top"/>
    </xf>
    <xf numFmtId="3" fontId="7" fillId="0" borderId="0" xfId="0" applyNumberFormat="1" applyFont="1" applyFill="1" applyBorder="1" applyAlignment="1">
      <alignment horizontal="right" vertical="top"/>
    </xf>
    <xf numFmtId="176" fontId="7" fillId="0" borderId="0" xfId="0" applyNumberFormat="1" applyFont="1" applyFill="1" applyBorder="1" applyAlignment="1">
      <alignment horizontal="right" vertical="top"/>
    </xf>
    <xf numFmtId="177" fontId="2" fillId="0" borderId="0" xfId="7" applyNumberFormat="1" applyFont="1" applyFill="1">
      <alignment vertical="top"/>
    </xf>
    <xf numFmtId="177" fontId="91" fillId="0" borderId="0" xfId="7" applyNumberFormat="1" applyFont="1" applyFill="1" applyAlignment="1">
      <alignment horizontal="right" vertical="top"/>
    </xf>
    <xf numFmtId="0" fontId="96" fillId="0" borderId="0" xfId="0" applyFont="1">
      <alignment vertical="top"/>
    </xf>
    <xf numFmtId="180" fontId="93" fillId="0" borderId="13" xfId="7" applyNumberFormat="1" applyFont="1" applyFill="1" applyBorder="1" applyAlignment="1">
      <alignment horizontal="center" vertical="top"/>
    </xf>
    <xf numFmtId="180" fontId="93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3" fillId="0" borderId="15" xfId="7" applyNumberFormat="1" applyFont="1" applyFill="1" applyBorder="1" applyAlignment="1">
      <alignment horizontal="right" vertical="top"/>
    </xf>
    <xf numFmtId="177" fontId="82" fillId="7" borderId="13" xfId="7" applyNumberFormat="1" applyFont="1" applyFill="1" applyBorder="1" applyAlignment="1" applyProtection="1">
      <alignment horizontal="right"/>
      <protection locked="0"/>
    </xf>
    <xf numFmtId="0" fontId="98" fillId="0" borderId="13" xfId="0" applyFont="1" applyBorder="1" applyAlignment="1" applyProtection="1">
      <protection locked="0"/>
    </xf>
    <xf numFmtId="0" fontId="98" fillId="0" borderId="13" xfId="0" applyFont="1" applyBorder="1" applyAlignment="1" applyProtection="1">
      <alignment horizontal="center"/>
      <protection locked="0"/>
    </xf>
    <xf numFmtId="0" fontId="35" fillId="0" borderId="3" xfId="5" applyFont="1" applyBorder="1" applyAlignment="1" applyProtection="1">
      <alignment horizontal="center"/>
      <protection locked="0"/>
    </xf>
    <xf numFmtId="0" fontId="35" fillId="0" borderId="0" xfId="5" applyFont="1" applyBorder="1" applyAlignment="1" applyProtection="1">
      <alignment horizontal="center"/>
      <protection locked="0"/>
    </xf>
    <xf numFmtId="177" fontId="23" fillId="0" borderId="0" xfId="8" applyNumberFormat="1" applyFont="1" applyAlignment="1" applyProtection="1">
      <alignment horizontal="center"/>
      <protection locked="0"/>
    </xf>
    <xf numFmtId="177" fontId="55" fillId="0" borderId="0" xfId="8" applyNumberFormat="1" applyFont="1" applyAlignment="1" applyProtection="1">
      <alignment horizontal="center"/>
      <protection locked="0"/>
    </xf>
    <xf numFmtId="0" fontId="23" fillId="0" borderId="0" xfId="5" applyAlignment="1" applyProtection="1">
      <alignment horizontal="center"/>
      <protection locked="0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77" fontId="47" fillId="0" borderId="1" xfId="7" applyNumberFormat="1" applyFont="1" applyFill="1" applyBorder="1" applyAlignment="1">
      <alignment vertical="top" wrapText="1"/>
    </xf>
    <xf numFmtId="176" fontId="99" fillId="0" borderId="11" xfId="7" applyNumberFormat="1" applyFont="1" applyBorder="1" applyAlignment="1">
      <alignment vertical="top"/>
    </xf>
    <xf numFmtId="176" fontId="100" fillId="0" borderId="7" xfId="7" applyNumberFormat="1" applyFont="1" applyBorder="1" applyAlignment="1">
      <alignment horizontal="right" vertical="top"/>
    </xf>
    <xf numFmtId="0" fontId="36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horizontal="center"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37" fillId="0" borderId="0" xfId="0" applyFont="1" applyAlignment="1" applyProtection="1">
      <alignment horizontal="right" vertical="top"/>
      <protection locked="0"/>
    </xf>
    <xf numFmtId="0" fontId="37" fillId="0" borderId="0" xfId="0" applyFont="1" applyAlignment="1" applyProtection="1">
      <alignment horizontal="left" vertical="top"/>
      <protection locked="0"/>
    </xf>
    <xf numFmtId="0" fontId="37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0" xfId="0" applyFont="1" applyAlignment="1" applyProtection="1">
      <alignment horizontal="center" vertical="center"/>
    </xf>
    <xf numFmtId="0" fontId="37" fillId="0" borderId="0" xfId="0" applyFont="1" applyAlignment="1" applyProtection="1">
      <alignment horizontal="center" vertical="top"/>
    </xf>
    <xf numFmtId="0" fontId="7" fillId="0" borderId="0" xfId="0" applyFont="1" applyAlignment="1"/>
    <xf numFmtId="0" fontId="7" fillId="0" borderId="0" xfId="0" applyFont="1" applyAlignment="1"/>
    <xf numFmtId="0" fontId="101" fillId="0" borderId="0" xfId="0" applyFont="1" applyAlignment="1"/>
    <xf numFmtId="0" fontId="6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86" fillId="0" borderId="0" xfId="0" applyFont="1" applyAlignment="1">
      <alignment horizontal="left" vertical="top"/>
    </xf>
    <xf numFmtId="0" fontId="102" fillId="0" borderId="0" xfId="0" applyFont="1" applyAlignment="1" applyProtection="1">
      <protection locked="0"/>
    </xf>
    <xf numFmtId="0" fontId="102" fillId="0" borderId="0" xfId="0" applyFont="1" applyAlignment="1" applyProtection="1">
      <alignment horizontal="left"/>
      <protection locked="0"/>
    </xf>
    <xf numFmtId="180" fontId="102" fillId="0" borderId="0" xfId="7" applyNumberFormat="1" applyFont="1" applyAlignment="1" applyProtection="1">
      <alignment horizontal="center"/>
      <protection locked="0"/>
    </xf>
    <xf numFmtId="177" fontId="103" fillId="0" borderId="0" xfId="7" applyNumberFormat="1" applyFont="1" applyAlignment="1" applyProtection="1">
      <alignment horizontal="right"/>
      <protection locked="0"/>
    </xf>
    <xf numFmtId="0" fontId="103" fillId="0" borderId="0" xfId="0" applyFont="1" applyAlignment="1" applyProtection="1">
      <protection locked="0"/>
    </xf>
    <xf numFmtId="180" fontId="105" fillId="0" borderId="0" xfId="0" applyNumberFormat="1" applyFont="1" applyAlignment="1" applyProtection="1">
      <protection locked="0"/>
    </xf>
    <xf numFmtId="0" fontId="105" fillId="0" borderId="0" xfId="0" applyFont="1" applyAlignment="1" applyProtection="1">
      <protection locked="0"/>
    </xf>
    <xf numFmtId="0" fontId="104" fillId="0" borderId="0" xfId="0" applyFont="1" applyAlignment="1" applyProtection="1">
      <protection locked="0"/>
    </xf>
    <xf numFmtId="180" fontId="104" fillId="0" borderId="0" xfId="0" applyNumberFormat="1" applyFont="1" applyAlignment="1" applyProtection="1">
      <alignment horizontal="right"/>
      <protection locked="0"/>
    </xf>
    <xf numFmtId="0" fontId="104" fillId="0" borderId="0" xfId="0" applyFont="1" applyAlignment="1" applyProtection="1">
      <alignment horizontal="center"/>
      <protection locked="0"/>
    </xf>
    <xf numFmtId="0" fontId="7" fillId="0" borderId="0" xfId="0" applyFont="1" applyAlignment="1"/>
    <xf numFmtId="180" fontId="104" fillId="0" borderId="0" xfId="7" applyNumberFormat="1" applyFont="1" applyAlignment="1" applyProtection="1">
      <alignment horizontal="center" vertical="center"/>
      <protection locked="0"/>
    </xf>
    <xf numFmtId="176" fontId="8" fillId="0" borderId="11" xfId="0" applyNumberFormat="1" applyFont="1" applyBorder="1" applyAlignment="1">
      <alignment horizontal="left" vertical="top" wrapText="1"/>
    </xf>
    <xf numFmtId="0" fontId="7" fillId="0" borderId="0" xfId="0" applyFont="1" applyAlignment="1"/>
    <xf numFmtId="0" fontId="0" fillId="0" borderId="7" xfId="0" applyBorder="1" applyAlignment="1">
      <alignment vertical="top"/>
    </xf>
    <xf numFmtId="180" fontId="0" fillId="0" borderId="0" xfId="0" applyNumberFormat="1">
      <alignment vertical="top"/>
    </xf>
    <xf numFmtId="10" fontId="8" fillId="0" borderId="11" xfId="14" applyNumberFormat="1" applyFont="1" applyBorder="1" applyAlignment="1">
      <alignment horizontal="right" vertical="top"/>
    </xf>
    <xf numFmtId="184" fontId="8" fillId="0" borderId="10" xfId="14" applyNumberFormat="1" applyFont="1" applyBorder="1" applyAlignment="1">
      <alignment horizontal="right" vertical="top"/>
    </xf>
    <xf numFmtId="184" fontId="8" fillId="0" borderId="11" xfId="14" applyNumberFormat="1" applyFont="1" applyBorder="1" applyAlignment="1">
      <alignment horizontal="right" vertical="top"/>
    </xf>
    <xf numFmtId="3" fontId="106" fillId="0" borderId="0" xfId="0" applyNumberFormat="1" applyFont="1" applyAlignment="1">
      <alignment horizontal="right" vertical="top"/>
    </xf>
    <xf numFmtId="0" fontId="107" fillId="0" borderId="0" xfId="0" applyFont="1" applyAlignment="1">
      <alignment horizontal="left" vertical="top" wrapText="1" readingOrder="1"/>
    </xf>
    <xf numFmtId="3" fontId="3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0" fontId="78" fillId="14" borderId="0" xfId="0" applyFont="1" applyFill="1">
      <alignment vertical="top"/>
    </xf>
    <xf numFmtId="3" fontId="110" fillId="14" borderId="0" xfId="0" applyNumberFormat="1" applyFont="1" applyFill="1" applyAlignment="1">
      <alignment horizontal="right"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3" fontId="78" fillId="14" borderId="0" xfId="0" applyNumberFormat="1" applyFont="1" applyFill="1">
      <alignment vertical="top"/>
    </xf>
    <xf numFmtId="3" fontId="0" fillId="15" borderId="0" xfId="0" applyNumberFormat="1" applyFill="1">
      <alignment vertical="top"/>
    </xf>
    <xf numFmtId="3" fontId="0" fillId="16" borderId="0" xfId="0" applyNumberFormat="1" applyFill="1">
      <alignment vertical="top"/>
    </xf>
    <xf numFmtId="0" fontId="7" fillId="0" borderId="11" xfId="0" applyFont="1" applyBorder="1" applyAlignment="1">
      <alignment horizontal="left" vertical="top" wrapText="1" readingOrder="1"/>
    </xf>
    <xf numFmtId="0" fontId="3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6" fillId="0" borderId="0" xfId="0" applyFont="1" applyAlignment="1">
      <alignment horizontal="distributed" vertical="center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40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40" fillId="0" borderId="0" xfId="0" applyFont="1" applyAlignment="1">
      <alignment vertical="top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3" fontId="106" fillId="0" borderId="0" xfId="0" applyNumberFormat="1" applyFont="1" applyAlignment="1">
      <alignment horizontal="right" vertical="top"/>
    </xf>
    <xf numFmtId="0" fontId="3" fillId="16" borderId="0" xfId="0" applyFont="1" applyFill="1" applyAlignment="1">
      <alignment horizontal="left" vertical="top" wrapText="1" readingOrder="1"/>
    </xf>
    <xf numFmtId="3" fontId="16" fillId="16" borderId="0" xfId="0" applyNumberFormat="1" applyFont="1" applyFill="1" applyAlignment="1">
      <alignment horizontal="right" vertical="top"/>
    </xf>
    <xf numFmtId="0" fontId="3" fillId="14" borderId="0" xfId="0" applyFont="1" applyFill="1" applyAlignment="1">
      <alignment horizontal="left" vertical="top" wrapText="1" readingOrder="1"/>
    </xf>
    <xf numFmtId="0" fontId="110" fillId="14" borderId="0" xfId="0" applyFont="1" applyFill="1" applyAlignment="1">
      <alignment horizontal="left" vertical="top" wrapText="1" readingOrder="1"/>
    </xf>
    <xf numFmtId="3" fontId="25" fillId="14" borderId="0" xfId="0" applyNumberFormat="1" applyFont="1" applyFill="1" applyAlignment="1">
      <alignment horizontal="right" vertical="top"/>
    </xf>
    <xf numFmtId="0" fontId="3" fillId="15" borderId="0" xfId="0" applyFont="1" applyFill="1" applyAlignment="1">
      <alignment horizontal="left" vertical="top" wrapText="1" readingOrder="1"/>
    </xf>
    <xf numFmtId="3" fontId="16" fillId="15" borderId="0" xfId="0" applyNumberFormat="1" applyFont="1" applyFill="1" applyAlignment="1">
      <alignment horizontal="right" vertical="top"/>
    </xf>
    <xf numFmtId="0" fontId="109" fillId="0" borderId="0" xfId="0" applyFont="1" applyAlignment="1">
      <alignment horizontal="right" vertical="top"/>
    </xf>
    <xf numFmtId="0" fontId="108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 readingOrder="1"/>
    </xf>
    <xf numFmtId="0" fontId="3" fillId="13" borderId="0" xfId="0" applyFont="1" applyFill="1" applyAlignment="1">
      <alignment horizontal="left" vertical="top" wrapText="1" readingOrder="1"/>
    </xf>
    <xf numFmtId="3" fontId="16" fillId="13" borderId="0" xfId="0" applyNumberFormat="1" applyFont="1" applyFill="1" applyAlignment="1">
      <alignment horizontal="right" vertical="top"/>
    </xf>
    <xf numFmtId="180" fontId="47" fillId="4" borderId="13" xfId="7" applyNumberFormat="1" applyFont="1" applyFill="1" applyBorder="1" applyAlignment="1">
      <alignment horizontal="center" vertical="top" wrapText="1"/>
    </xf>
    <xf numFmtId="180" fontId="47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6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center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20" fillId="0" borderId="1" xfId="0" applyFont="1" applyBorder="1" applyAlignment="1">
      <alignment horizontal="center" vertical="center" wrapText="1"/>
    </xf>
    <xf numFmtId="0" fontId="97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20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top" wrapText="1"/>
    </xf>
    <xf numFmtId="3" fontId="8" fillId="0" borderId="3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1" xfId="0" applyFont="1" applyBorder="1" applyAlignment="1">
      <alignment horizontal="center" vertical="center" wrapText="1" readingOrder="1"/>
    </xf>
    <xf numFmtId="176" fontId="8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176" fontId="8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176" fontId="8" fillId="0" borderId="4" xfId="0" applyNumberFormat="1" applyFont="1" applyBorder="1" applyAlignment="1">
      <alignment vertical="top" wrapText="1" readingOrder="1"/>
    </xf>
    <xf numFmtId="176" fontId="8" fillId="0" borderId="5" xfId="0" applyNumberFormat="1" applyFont="1" applyBorder="1" applyAlignment="1">
      <alignment vertical="top" wrapText="1" readingOrder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4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8" fillId="0" borderId="8" xfId="1" applyNumberFormat="1" applyFont="1" applyBorder="1" applyAlignment="1">
      <alignment vertical="top" wrapText="1"/>
    </xf>
    <xf numFmtId="180" fontId="8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8" fillId="0" borderId="4" xfId="1" applyNumberFormat="1" applyFont="1" applyBorder="1" applyAlignment="1">
      <alignment vertical="top" wrapText="1"/>
    </xf>
    <xf numFmtId="0" fontId="8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2" xfId="1" applyFont="1" applyBorder="1" applyAlignment="1">
      <alignment horizontal="right" vertical="top" wrapText="1" readingOrder="1"/>
    </xf>
    <xf numFmtId="0" fontId="0" fillId="0" borderId="8" xfId="0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7" fillId="0" borderId="0" xfId="0" applyFont="1" applyAlignment="1"/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Border="1" applyAlignment="1">
      <alignment horizontal="center"/>
    </xf>
    <xf numFmtId="0" fontId="86" fillId="0" borderId="0" xfId="0" applyFont="1" applyAlignment="1">
      <alignment vertical="top" wrapText="1"/>
    </xf>
    <xf numFmtId="0" fontId="7" fillId="12" borderId="0" xfId="0" applyFont="1" applyFill="1" applyBorder="1" applyAlignment="1">
      <alignment horizontal="left" vertical="top"/>
    </xf>
    <xf numFmtId="0" fontId="7" fillId="12" borderId="7" xfId="0" applyFont="1" applyFill="1" applyBorder="1" applyAlignment="1">
      <alignment horizontal="left" vertical="top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12" borderId="4" xfId="0" applyFont="1" applyFill="1" applyBorder="1" applyAlignment="1">
      <alignment horizontal="left" vertical="top" wrapText="1"/>
    </xf>
    <xf numFmtId="0" fontId="7" fillId="12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left" vertical="top" readingOrder="1"/>
    </xf>
    <xf numFmtId="0" fontId="7" fillId="0" borderId="0" xfId="0" applyFont="1" applyBorder="1" applyAlignment="1">
      <alignment horizontal="left" vertical="top" readingOrder="1"/>
    </xf>
    <xf numFmtId="0" fontId="7" fillId="0" borderId="8" xfId="0" applyFont="1" applyFill="1" applyBorder="1" applyAlignment="1">
      <alignment horizontal="left" vertical="top" readingOrder="1"/>
    </xf>
    <xf numFmtId="0" fontId="7" fillId="0" borderId="2" xfId="0" applyFont="1" applyFill="1" applyBorder="1" applyAlignment="1">
      <alignment horizontal="left" vertical="top" readingOrder="1"/>
    </xf>
    <xf numFmtId="0" fontId="7" fillId="12" borderId="6" xfId="0" applyFont="1" applyFill="1" applyBorder="1" applyAlignment="1">
      <alignment horizontal="left" vertical="top"/>
    </xf>
    <xf numFmtId="0" fontId="7" fillId="12" borderId="6" xfId="0" applyFont="1" applyFill="1" applyBorder="1" applyAlignment="1">
      <alignment horizontal="left" vertical="top" readingOrder="1"/>
    </xf>
    <xf numFmtId="0" fontId="7" fillId="12" borderId="0" xfId="0" applyFont="1" applyFill="1" applyBorder="1" applyAlignment="1">
      <alignment horizontal="left" vertical="top" readingOrder="1"/>
    </xf>
    <xf numFmtId="177" fontId="7" fillId="12" borderId="0" xfId="7" applyNumberFormat="1" applyFont="1" applyFill="1" applyBorder="1" applyAlignment="1">
      <alignment horizontal="left" vertical="top" readingOrder="1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0" fillId="0" borderId="0" xfId="0" applyAlignment="1">
      <alignment horizontal="left" vertical="top" wrapText="1" readingOrder="1"/>
    </xf>
    <xf numFmtId="0" fontId="0" fillId="0" borderId="7" xfId="0" applyBorder="1" applyAlignment="1">
      <alignment horizontal="left" vertical="top" wrapText="1" readingOrder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55" fillId="0" borderId="13" xfId="0" applyFont="1" applyBorder="1" applyAlignment="1" applyProtection="1">
      <alignment horizontal="left"/>
      <protection locked="0"/>
    </xf>
    <xf numFmtId="0" fontId="55" fillId="0" borderId="15" xfId="0" applyFont="1" applyBorder="1" applyAlignment="1" applyProtection="1">
      <alignment horizontal="left"/>
      <protection locked="0"/>
    </xf>
    <xf numFmtId="0" fontId="81" fillId="0" borderId="0" xfId="0" applyFont="1" applyAlignment="1" applyProtection="1">
      <alignment horizontal="center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0" fontId="55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1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3" xfId="7" applyNumberFormat="1" applyFont="1" applyFill="1" applyBorder="1" applyAlignment="1" applyProtection="1">
      <alignment horizontal="center"/>
      <protection locked="0"/>
    </xf>
    <xf numFmtId="180" fontId="81" fillId="6" borderId="15" xfId="7" applyNumberFormat="1" applyFont="1" applyFill="1" applyBorder="1" applyAlignment="1" applyProtection="1">
      <alignment horizontal="center"/>
      <protection locked="0"/>
    </xf>
    <xf numFmtId="180" fontId="81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71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2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7" fillId="0" borderId="0" xfId="1" applyFont="1" applyAlignment="1">
      <alignment horizontal="center" vertical="top" wrapText="1"/>
    </xf>
    <xf numFmtId="0" fontId="78" fillId="0" borderId="0" xfId="0" applyFont="1" applyAlignment="1">
      <alignment horizontal="center" vertical="top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0" xfId="6" applyAlignment="1"/>
    <xf numFmtId="0" fontId="23" fillId="0" borderId="13" xfId="6" applyBorder="1" applyAlignment="1"/>
    <xf numFmtId="0" fontId="23" fillId="0" borderId="15" xfId="6" applyBorder="1" applyAlignment="1"/>
    <xf numFmtId="0" fontId="23" fillId="0" borderId="14" xfId="6" applyBorder="1" applyAlignment="1"/>
    <xf numFmtId="0" fontId="23" fillId="0" borderId="4" xfId="6" applyBorder="1" applyAlignment="1"/>
    <xf numFmtId="0" fontId="23" fillId="0" borderId="3" xfId="6" applyBorder="1" applyAlignment="1"/>
    <xf numFmtId="0" fontId="23" fillId="0" borderId="2" xfId="6" applyBorder="1" applyAlignment="1"/>
    <xf numFmtId="179" fontId="23" fillId="0" borderId="2" xfId="6" applyNumberFormat="1" applyFont="1" applyBorder="1" applyAlignment="1"/>
    <xf numFmtId="179" fontId="23" fillId="0" borderId="2" xfId="6" applyNumberFormat="1" applyBorder="1" applyAlignment="1"/>
    <xf numFmtId="179" fontId="23" fillId="0" borderId="9" xfId="6" applyNumberFormat="1" applyBorder="1" applyAlignment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Font="1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0" fontId="23" fillId="0" borderId="13" xfId="6" applyFont="1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23" fillId="0" borderId="0" xfId="6" applyBorder="1" applyAlignment="1"/>
    <xf numFmtId="0" fontId="23" fillId="0" borderId="13" xfId="6" applyFont="1" applyBorder="1" applyAlignment="1"/>
    <xf numFmtId="0" fontId="9" fillId="0" borderId="3" xfId="6" applyFont="1" applyBorder="1" applyAlignment="1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86">
    <dxf>
      <font>
        <b/>
        <i/>
        <strike/>
        <color rgb="FFFF0000"/>
      </font>
      <fill>
        <patternFill patternType="none">
          <bgColor auto="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10\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2/&#26376;&#22577;-112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9">
          <cell r="N39">
            <v>0</v>
          </cell>
        </row>
        <row r="40">
          <cell r="N40">
            <v>65820431</v>
          </cell>
        </row>
      </sheetData>
      <sheetData sheetId="13">
        <row r="31">
          <cell r="C31">
            <v>3251942</v>
          </cell>
          <cell r="D31">
            <v>62568489</v>
          </cell>
        </row>
      </sheetData>
      <sheetData sheetId="14"/>
      <sheetData sheetId="15">
        <row r="23">
          <cell r="L23">
            <v>3298396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40625" defaultRowHeight="14.25"/>
  <cols>
    <col min="1" max="6" width="9.140625" style="59"/>
    <col min="7" max="7" width="10.42578125" style="59" bestFit="1" customWidth="1"/>
    <col min="8" max="8" width="14" style="59" customWidth="1"/>
    <col min="9" max="9" width="9.28515625" style="59" bestFit="1" customWidth="1"/>
    <col min="10" max="10" width="9.140625" style="59"/>
    <col min="11" max="11" width="6.85546875" style="59" bestFit="1" customWidth="1"/>
    <col min="12" max="12" width="10.5703125" style="59" customWidth="1"/>
    <col min="13" max="13" width="7.140625" style="59" bestFit="1" customWidth="1"/>
    <col min="14" max="16384" width="9.140625" style="59"/>
  </cols>
  <sheetData>
    <row r="1" spans="1:14" ht="36.75">
      <c r="A1" s="63" t="s">
        <v>279</v>
      </c>
    </row>
    <row r="4" spans="1:14" ht="36.75">
      <c r="A4" s="614" t="s">
        <v>278</v>
      </c>
      <c r="B4" s="615"/>
      <c r="C4" s="615"/>
      <c r="D4" s="615"/>
      <c r="E4" s="615"/>
      <c r="F4" s="615"/>
      <c r="G4" s="615"/>
      <c r="H4" s="615"/>
      <c r="I4" s="615"/>
      <c r="J4" s="615"/>
      <c r="K4" s="615"/>
      <c r="L4" s="615"/>
      <c r="M4" s="615"/>
      <c r="N4" s="615"/>
    </row>
    <row r="5" spans="1:14" ht="59.25" customHeight="1"/>
    <row r="6" spans="1:14" ht="59.25" customHeight="1"/>
    <row r="7" spans="1:14" ht="36.75">
      <c r="C7" s="616" t="s">
        <v>117</v>
      </c>
      <c r="D7" s="616"/>
      <c r="E7" s="616"/>
      <c r="F7" s="616"/>
      <c r="G7" s="616"/>
      <c r="H7" s="616"/>
      <c r="I7" s="616"/>
      <c r="J7" s="616"/>
      <c r="K7" s="616"/>
      <c r="L7" s="616"/>
    </row>
    <row r="8" spans="1:14" ht="51.75" customHeight="1"/>
    <row r="9" spans="1:14" ht="51.75" customHeight="1"/>
    <row r="10" spans="1:14" s="65" customFormat="1" ht="32.25">
      <c r="C10" s="321"/>
      <c r="D10" s="321"/>
      <c r="E10" s="617" t="s">
        <v>118</v>
      </c>
      <c r="F10" s="617"/>
      <c r="G10" s="617"/>
      <c r="H10" s="65">
        <v>109</v>
      </c>
      <c r="I10" s="65" t="s">
        <v>119</v>
      </c>
      <c r="K10" s="71" t="s">
        <v>120</v>
      </c>
      <c r="M10" s="65" t="s">
        <v>291</v>
      </c>
    </row>
    <row r="11" spans="1:14">
      <c r="M11" s="62"/>
    </row>
    <row r="15" spans="1:14" s="64" customFormat="1" ht="34.5" customHeight="1">
      <c r="B15" s="618" t="s">
        <v>121</v>
      </c>
      <c r="C15" s="618"/>
      <c r="D15" s="618"/>
      <c r="E15" s="618"/>
      <c r="F15" s="618"/>
      <c r="H15" s="320"/>
      <c r="I15" s="320" t="s">
        <v>122</v>
      </c>
      <c r="J15" s="320"/>
      <c r="K15" s="320"/>
      <c r="L15" s="320"/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42"/>
  <sheetViews>
    <sheetView showGridLines="0" showZeros="0" showOutlineSymbols="0" view="pageBreakPreview" zoomScaleSheetLayoutView="100" workbookViewId="0">
      <selection activeCell="G23" sqref="G23"/>
    </sheetView>
  </sheetViews>
  <sheetFormatPr defaultColWidth="6.85546875" defaultRowHeight="14.25"/>
  <cols>
    <col min="1" max="1" width="1.85546875" style="82" customWidth="1"/>
    <col min="2" max="2" width="14.7109375" style="82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5.42578125" style="3" customWidth="1"/>
    <col min="15" max="15" width="0.7109375" style="3" customWidth="1"/>
    <col min="16" max="16" width="1.42578125" style="3" hidden="1" customWidth="1"/>
    <col min="17" max="17" width="3.140625" style="3" hidden="1" customWidth="1"/>
    <col min="18" max="18" width="9.28515625" style="3" customWidth="1"/>
    <col min="19" max="19" width="4" style="3" customWidth="1"/>
    <col min="20" max="20" width="1.5703125" style="3" customWidth="1"/>
    <col min="21" max="21" width="6.7109375" style="3" customWidth="1"/>
    <col min="22" max="22" width="7.5703125" style="3" customWidth="1"/>
    <col min="23" max="23" width="3.7109375" style="3" customWidth="1"/>
    <col min="24" max="16384" width="6.85546875" style="3"/>
  </cols>
  <sheetData>
    <row r="1" spans="1:23" ht="19.5">
      <c r="A1" s="717" t="str">
        <f>封面!$A$4</f>
        <v>彰化縣地方教育發展基金－彰化縣秀水鄉馬興國民小學</v>
      </c>
      <c r="B1" s="717"/>
      <c r="C1" s="717"/>
      <c r="D1" s="717"/>
      <c r="E1" s="717"/>
      <c r="F1" s="717"/>
      <c r="G1" s="717"/>
      <c r="H1" s="717"/>
      <c r="I1" s="717"/>
      <c r="J1" s="717"/>
      <c r="K1" s="717"/>
      <c r="L1" s="717"/>
      <c r="M1" s="717"/>
      <c r="N1" s="717"/>
      <c r="O1" s="717"/>
      <c r="P1" s="717"/>
      <c r="Q1" s="717"/>
      <c r="R1" s="717"/>
      <c r="S1" s="717"/>
      <c r="T1" s="717"/>
      <c r="U1" s="717"/>
      <c r="V1" s="716"/>
      <c r="W1" s="716"/>
    </row>
    <row r="2" spans="1:23" ht="19.5" hidden="1">
      <c r="A2" s="79"/>
      <c r="B2" s="7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771"/>
      <c r="T3" s="771"/>
      <c r="U3" s="771"/>
      <c r="V3" s="771"/>
      <c r="W3" s="771"/>
    </row>
    <row r="4" spans="1:23" ht="19.5">
      <c r="A4" s="717" t="s">
        <v>451</v>
      </c>
      <c r="B4" s="717"/>
      <c r="C4" s="717"/>
      <c r="D4" s="717"/>
      <c r="E4" s="717"/>
      <c r="F4" s="717"/>
      <c r="G4" s="717"/>
      <c r="H4" s="717"/>
      <c r="I4" s="717"/>
      <c r="J4" s="717"/>
      <c r="K4" s="717"/>
      <c r="L4" s="717"/>
      <c r="M4" s="717"/>
      <c r="N4" s="717"/>
      <c r="O4" s="717"/>
      <c r="P4" s="717"/>
      <c r="Q4" s="717"/>
      <c r="R4" s="717"/>
      <c r="S4" s="717"/>
      <c r="T4" s="717"/>
      <c r="U4" s="717"/>
      <c r="V4" s="717"/>
      <c r="W4" s="717"/>
    </row>
    <row r="5" spans="1:23" ht="19.5" customHeight="1">
      <c r="A5" s="718" t="str">
        <f>封面!$E$10&amp;封面!$H$10&amp;封面!$I$10&amp;封面!$J$10&amp;封面!$K$10&amp;封面!L10</f>
        <v>中華民國113年1月份</v>
      </c>
      <c r="B5" s="718"/>
      <c r="C5" s="718"/>
      <c r="D5" s="718"/>
      <c r="E5" s="718"/>
      <c r="F5" s="718"/>
      <c r="G5" s="718"/>
      <c r="H5" s="718"/>
      <c r="I5" s="718"/>
      <c r="J5" s="718"/>
      <c r="K5" s="718"/>
      <c r="L5" s="718"/>
      <c r="M5" s="718"/>
      <c r="N5" s="718"/>
      <c r="O5" s="718"/>
      <c r="P5" s="718"/>
      <c r="Q5" s="718"/>
      <c r="R5" s="718"/>
      <c r="S5" s="718"/>
      <c r="T5" s="718"/>
      <c r="U5" s="718"/>
      <c r="V5" s="718"/>
      <c r="W5" s="718"/>
    </row>
    <row r="6" spans="1:23" ht="12.75" hidden="1">
      <c r="A6" s="718"/>
      <c r="B6" s="718"/>
      <c r="C6" s="718"/>
      <c r="D6" s="718"/>
      <c r="E6" s="718"/>
      <c r="F6" s="718"/>
      <c r="G6" s="718"/>
      <c r="H6" s="718"/>
      <c r="I6" s="718"/>
      <c r="J6" s="718"/>
      <c r="K6" s="718"/>
      <c r="L6" s="718"/>
      <c r="M6" s="718"/>
      <c r="N6" s="718"/>
      <c r="O6" s="718"/>
      <c r="P6" s="718"/>
      <c r="Q6" s="718"/>
      <c r="R6" s="718"/>
      <c r="S6" s="718"/>
      <c r="T6" s="718"/>
      <c r="U6" s="718"/>
      <c r="V6" s="718"/>
      <c r="W6" s="718"/>
    </row>
    <row r="7" spans="1:23" s="9" customFormat="1" ht="16.5">
      <c r="A7" s="772" t="s">
        <v>1</v>
      </c>
      <c r="B7" s="772"/>
      <c r="C7" s="772"/>
      <c r="D7" s="772"/>
      <c r="E7" s="772"/>
      <c r="F7" s="772"/>
      <c r="G7" s="772"/>
      <c r="H7" s="772"/>
      <c r="I7" s="772"/>
      <c r="J7" s="772"/>
      <c r="K7" s="772"/>
      <c r="L7" s="772"/>
      <c r="M7" s="772"/>
      <c r="N7" s="772"/>
      <c r="O7" s="772"/>
      <c r="P7" s="772"/>
      <c r="Q7" s="772"/>
      <c r="R7" s="772"/>
      <c r="S7" s="772"/>
      <c r="T7" s="772"/>
      <c r="U7" s="772"/>
      <c r="V7" s="772"/>
      <c r="W7" s="772"/>
    </row>
    <row r="8" spans="1:23" s="15" customFormat="1" hidden="1">
      <c r="A8" s="95"/>
      <c r="B8" s="95"/>
    </row>
    <row r="9" spans="1:23" s="15" customFormat="1" hidden="1">
      <c r="A9" s="95"/>
      <c r="B9" s="95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750" t="s">
        <v>453</v>
      </c>
      <c r="B10" s="751"/>
      <c r="C10" s="750" t="s">
        <v>56</v>
      </c>
      <c r="D10" s="756"/>
      <c r="E10" s="756"/>
      <c r="F10" s="756"/>
      <c r="G10" s="757"/>
      <c r="H10" s="766" t="s">
        <v>57</v>
      </c>
      <c r="I10" s="748" t="s">
        <v>55</v>
      </c>
      <c r="J10" s="749"/>
      <c r="K10" s="749"/>
      <c r="L10" s="749"/>
      <c r="M10" s="749"/>
      <c r="N10" s="749"/>
      <c r="O10" s="749"/>
      <c r="P10" s="748" t="s">
        <v>58</v>
      </c>
      <c r="Q10" s="749"/>
      <c r="R10" s="749"/>
      <c r="S10" s="749"/>
      <c r="T10" s="749"/>
      <c r="U10" s="750" t="s">
        <v>59</v>
      </c>
      <c r="V10" s="756"/>
      <c r="W10" s="757"/>
    </row>
    <row r="11" spans="1:23" s="21" customFormat="1" ht="12.75" hidden="1" customHeight="1">
      <c r="A11" s="752"/>
      <c r="B11" s="753"/>
      <c r="C11" s="758"/>
      <c r="D11" s="759"/>
      <c r="E11" s="759"/>
      <c r="F11" s="759"/>
      <c r="G11" s="760"/>
      <c r="H11" s="767"/>
      <c r="I11" s="749"/>
      <c r="J11" s="749"/>
      <c r="K11" s="749"/>
      <c r="L11" s="749"/>
      <c r="M11" s="749"/>
      <c r="N11" s="749"/>
      <c r="O11" s="749"/>
      <c r="P11" s="749"/>
      <c r="Q11" s="749"/>
      <c r="R11" s="749"/>
      <c r="S11" s="749"/>
      <c r="T11" s="749"/>
      <c r="U11" s="758"/>
      <c r="V11" s="759"/>
      <c r="W11" s="760"/>
    </row>
    <row r="12" spans="1:23" s="22" customFormat="1" ht="12.75" customHeight="1">
      <c r="A12" s="752"/>
      <c r="B12" s="753"/>
      <c r="C12" s="758"/>
      <c r="D12" s="759"/>
      <c r="E12" s="759"/>
      <c r="F12" s="759"/>
      <c r="G12" s="760"/>
      <c r="H12" s="767"/>
      <c r="I12" s="749"/>
      <c r="J12" s="749"/>
      <c r="K12" s="749"/>
      <c r="L12" s="749"/>
      <c r="M12" s="749"/>
      <c r="N12" s="749"/>
      <c r="O12" s="749"/>
      <c r="P12" s="749"/>
      <c r="Q12" s="749"/>
      <c r="R12" s="749"/>
      <c r="S12" s="749"/>
      <c r="T12" s="749"/>
      <c r="U12" s="758"/>
      <c r="V12" s="759"/>
      <c r="W12" s="760"/>
    </row>
    <row r="13" spans="1:23" s="5" customFormat="1" ht="12.75" hidden="1" customHeight="1">
      <c r="A13" s="752"/>
      <c r="B13" s="753"/>
      <c r="C13" s="761"/>
      <c r="D13" s="762"/>
      <c r="E13" s="762"/>
      <c r="F13" s="759"/>
      <c r="G13" s="760"/>
      <c r="H13" s="767"/>
      <c r="I13" s="749"/>
      <c r="J13" s="749"/>
      <c r="K13" s="749"/>
      <c r="L13" s="749"/>
      <c r="M13" s="749"/>
      <c r="N13" s="749"/>
      <c r="O13" s="749"/>
      <c r="P13" s="749"/>
      <c r="Q13" s="749"/>
      <c r="R13" s="749"/>
      <c r="S13" s="749"/>
      <c r="T13" s="749"/>
      <c r="U13" s="758"/>
      <c r="V13" s="759"/>
      <c r="W13" s="760"/>
    </row>
    <row r="14" spans="1:23" s="5" customFormat="1" ht="12.75" customHeight="1">
      <c r="A14" s="752"/>
      <c r="B14" s="753"/>
      <c r="C14" s="763"/>
      <c r="D14" s="764"/>
      <c r="E14" s="764"/>
      <c r="F14" s="765"/>
      <c r="G14" s="722"/>
      <c r="H14" s="767"/>
      <c r="I14" s="749"/>
      <c r="J14" s="749"/>
      <c r="K14" s="749"/>
      <c r="L14" s="749"/>
      <c r="M14" s="749"/>
      <c r="N14" s="749"/>
      <c r="O14" s="749"/>
      <c r="P14" s="749"/>
      <c r="Q14" s="749"/>
      <c r="R14" s="749"/>
      <c r="S14" s="749"/>
      <c r="T14" s="749"/>
      <c r="U14" s="758"/>
      <c r="V14" s="759"/>
      <c r="W14" s="760"/>
    </row>
    <row r="15" spans="1:23" s="5" customFormat="1" ht="12.75" customHeight="1">
      <c r="A15" s="752"/>
      <c r="B15" s="753"/>
      <c r="C15" s="768" t="s">
        <v>317</v>
      </c>
      <c r="D15" s="768" t="s">
        <v>318</v>
      </c>
      <c r="E15" s="768" t="s">
        <v>319</v>
      </c>
      <c r="F15" s="766" t="s">
        <v>60</v>
      </c>
      <c r="G15" s="766" t="s">
        <v>61</v>
      </c>
      <c r="H15" s="767"/>
      <c r="I15" s="748" t="s">
        <v>452</v>
      </c>
      <c r="J15" s="749"/>
      <c r="K15" s="749"/>
      <c r="L15" s="749"/>
      <c r="M15" s="748" t="s">
        <v>12</v>
      </c>
      <c r="N15" s="749"/>
      <c r="O15" s="749"/>
      <c r="P15" s="749"/>
      <c r="Q15" s="749"/>
      <c r="R15" s="749"/>
      <c r="S15" s="749"/>
      <c r="T15" s="749"/>
      <c r="U15" s="758"/>
      <c r="V15" s="759"/>
      <c r="W15" s="760"/>
    </row>
    <row r="16" spans="1:23" s="5" customFormat="1" ht="12.75" customHeight="1">
      <c r="A16" s="752"/>
      <c r="B16" s="753"/>
      <c r="C16" s="769"/>
      <c r="D16" s="769"/>
      <c r="E16" s="769"/>
      <c r="F16" s="769"/>
      <c r="G16" s="767"/>
      <c r="H16" s="767"/>
      <c r="I16" s="749"/>
      <c r="J16" s="749"/>
      <c r="K16" s="749"/>
      <c r="L16" s="749"/>
      <c r="M16" s="749"/>
      <c r="N16" s="749"/>
      <c r="O16" s="749"/>
      <c r="P16" s="749"/>
      <c r="Q16" s="749"/>
      <c r="R16" s="749"/>
      <c r="S16" s="749"/>
      <c r="T16" s="749"/>
      <c r="U16" s="758"/>
      <c r="V16" s="759"/>
      <c r="W16" s="760"/>
    </row>
    <row r="17" spans="1:23" s="5" customFormat="1" ht="12.75" customHeight="1">
      <c r="A17" s="752"/>
      <c r="B17" s="753"/>
      <c r="C17" s="769"/>
      <c r="D17" s="769"/>
      <c r="E17" s="769"/>
      <c r="F17" s="769"/>
      <c r="G17" s="767"/>
      <c r="H17" s="767"/>
      <c r="I17" s="748" t="s">
        <v>63</v>
      </c>
      <c r="J17" s="774" t="s">
        <v>62</v>
      </c>
      <c r="K17" s="748" t="s">
        <v>64</v>
      </c>
      <c r="L17" s="770" t="s">
        <v>65</v>
      </c>
      <c r="M17" s="748" t="s">
        <v>4</v>
      </c>
      <c r="N17" s="770" t="s">
        <v>65</v>
      </c>
      <c r="O17" s="749"/>
      <c r="P17" s="749"/>
      <c r="Q17" s="749"/>
      <c r="R17" s="749"/>
      <c r="S17" s="749"/>
      <c r="T17" s="749"/>
      <c r="U17" s="758"/>
      <c r="V17" s="759"/>
      <c r="W17" s="760"/>
    </row>
    <row r="18" spans="1:23" s="5" customFormat="1" ht="12.75" customHeight="1">
      <c r="A18" s="752"/>
      <c r="B18" s="753"/>
      <c r="C18" s="769"/>
      <c r="D18" s="769"/>
      <c r="E18" s="769"/>
      <c r="F18" s="769"/>
      <c r="G18" s="767"/>
      <c r="H18" s="767"/>
      <c r="I18" s="749"/>
      <c r="J18" s="774"/>
      <c r="K18" s="749"/>
      <c r="L18" s="749"/>
      <c r="M18" s="749"/>
      <c r="N18" s="749"/>
      <c r="O18" s="749"/>
      <c r="P18" s="749"/>
      <c r="Q18" s="749"/>
      <c r="R18" s="749"/>
      <c r="S18" s="749"/>
      <c r="T18" s="749"/>
      <c r="U18" s="758"/>
      <c r="V18" s="759"/>
      <c r="W18" s="760"/>
    </row>
    <row r="19" spans="1:23" s="5" customFormat="1" ht="12.75" hidden="1" customHeight="1">
      <c r="A19" s="752"/>
      <c r="B19" s="753"/>
      <c r="C19" s="419"/>
      <c r="D19" s="419"/>
      <c r="E19" s="419"/>
      <c r="F19" s="330"/>
      <c r="G19" s="767"/>
      <c r="H19" s="767"/>
      <c r="I19" s="749"/>
      <c r="J19" s="774"/>
      <c r="K19" s="749"/>
      <c r="L19" s="749"/>
      <c r="M19" s="749"/>
      <c r="N19" s="749"/>
      <c r="O19" s="749"/>
      <c r="P19" s="749"/>
      <c r="Q19" s="749"/>
      <c r="R19" s="749"/>
      <c r="S19" s="749"/>
      <c r="T19" s="749"/>
      <c r="U19" s="758"/>
      <c r="V19" s="759"/>
      <c r="W19" s="760"/>
    </row>
    <row r="20" spans="1:23" s="5" customFormat="1" ht="16.5" hidden="1" customHeight="1">
      <c r="A20" s="754"/>
      <c r="B20" s="755"/>
      <c r="C20" s="420"/>
      <c r="D20" s="420"/>
      <c r="E20" s="420"/>
      <c r="F20" s="327"/>
      <c r="G20" s="723"/>
      <c r="H20" s="723"/>
      <c r="I20" s="749"/>
      <c r="J20" s="774"/>
      <c r="K20" s="749"/>
      <c r="L20" s="749"/>
      <c r="M20" s="749"/>
      <c r="N20" s="749"/>
      <c r="O20" s="749"/>
      <c r="P20" s="749"/>
      <c r="Q20" s="749"/>
      <c r="R20" s="749"/>
      <c r="S20" s="749"/>
      <c r="T20" s="749"/>
      <c r="U20" s="773"/>
      <c r="V20" s="765"/>
      <c r="W20" s="722"/>
    </row>
    <row r="21" spans="1:23" ht="14.25" customHeight="1">
      <c r="A21" s="96" t="s">
        <v>454</v>
      </c>
      <c r="B21" s="97"/>
      <c r="C21" s="393">
        <f>SUM(C23:C24)</f>
        <v>0</v>
      </c>
      <c r="D21" s="393">
        <f t="shared" ref="D21:J22" si="0">SUM(D23:D24)</f>
        <v>0</v>
      </c>
      <c r="E21" s="393">
        <f t="shared" si="0"/>
        <v>0</v>
      </c>
      <c r="F21" s="394">
        <f t="shared" si="0"/>
        <v>0</v>
      </c>
      <c r="G21" s="394">
        <f>SUM(C21:F21)</f>
        <v>0</v>
      </c>
      <c r="H21" s="394">
        <f t="shared" si="0"/>
        <v>0</v>
      </c>
      <c r="I21" s="394">
        <f t="shared" si="0"/>
        <v>0</v>
      </c>
      <c r="J21" s="394">
        <f t="shared" si="0"/>
        <v>0</v>
      </c>
      <c r="K21" s="394">
        <f>SUM(I21:J21)</f>
        <v>0</v>
      </c>
      <c r="L21" s="395">
        <f>IF(K21=0,0,K21/H21)</f>
        <v>0</v>
      </c>
      <c r="M21" s="394">
        <f>H21-K21</f>
        <v>0</v>
      </c>
      <c r="N21" s="396">
        <f>IF(M21=0,0,M21/H21)</f>
        <v>0</v>
      </c>
      <c r="O21" s="397"/>
      <c r="P21" s="398"/>
      <c r="Q21" s="399"/>
      <c r="R21" s="744"/>
      <c r="S21" s="745"/>
      <c r="T21" s="746"/>
      <c r="U21" s="747"/>
      <c r="V21" s="745"/>
      <c r="W21" s="746"/>
    </row>
    <row r="22" spans="1:23" ht="14.25" customHeight="1">
      <c r="A22" s="100" t="s">
        <v>44</v>
      </c>
      <c r="B22" s="99"/>
      <c r="C22" s="400">
        <f>SUM(C24:C25)</f>
        <v>0</v>
      </c>
      <c r="D22" s="400">
        <f t="shared" si="0"/>
        <v>0</v>
      </c>
      <c r="E22" s="400">
        <f t="shared" si="0"/>
        <v>0</v>
      </c>
      <c r="F22" s="401">
        <f t="shared" si="0"/>
        <v>0</v>
      </c>
      <c r="G22" s="401">
        <f>SUM(C22:F22)</f>
        <v>0</v>
      </c>
      <c r="H22" s="401">
        <f t="shared" si="0"/>
        <v>0</v>
      </c>
      <c r="I22" s="401">
        <f t="shared" si="0"/>
        <v>0</v>
      </c>
      <c r="J22" s="401">
        <f t="shared" si="0"/>
        <v>0</v>
      </c>
      <c r="K22" s="401">
        <f>SUM(I22:J22)</f>
        <v>0</v>
      </c>
      <c r="L22" s="402">
        <f>IF(K22=0,0,K22/H22)</f>
        <v>0</v>
      </c>
      <c r="M22" s="401">
        <f>H22-K22</f>
        <v>0</v>
      </c>
      <c r="N22" s="403">
        <f>IF(M22=0,0,M22/H22)</f>
        <v>0</v>
      </c>
      <c r="O22" s="404"/>
      <c r="P22" s="405"/>
      <c r="Q22" s="406"/>
      <c r="R22" s="555"/>
      <c r="S22" s="556"/>
      <c r="T22" s="557"/>
      <c r="U22" s="558"/>
      <c r="V22" s="556"/>
      <c r="W22" s="557"/>
    </row>
    <row r="23" spans="1:23">
      <c r="A23" s="98"/>
      <c r="B23" s="99" t="s">
        <v>44</v>
      </c>
      <c r="C23" s="400"/>
      <c r="D23" s="400"/>
      <c r="E23" s="400"/>
      <c r="F23" s="401"/>
      <c r="G23" s="401">
        <f t="shared" ref="G23:G41" si="1">SUM(C23:F23)</f>
        <v>0</v>
      </c>
      <c r="H23" s="401"/>
      <c r="I23" s="401"/>
      <c r="J23" s="401"/>
      <c r="K23" s="401">
        <f t="shared" ref="K23:K41" si="2">SUM(I23:J23)</f>
        <v>0</v>
      </c>
      <c r="L23" s="402">
        <f t="shared" ref="L23:L41" si="3">IF(K23=0,0,K23/H23)</f>
        <v>0</v>
      </c>
      <c r="M23" s="401">
        <f t="shared" ref="M23:M41" si="4">H23-K23</f>
        <v>0</v>
      </c>
      <c r="N23" s="403">
        <f t="shared" ref="N23:N41" si="5">IF(M23=0,0,M23/H23)</f>
        <v>0</v>
      </c>
      <c r="O23" s="404"/>
      <c r="P23" s="405"/>
      <c r="Q23" s="406"/>
      <c r="R23" s="736"/>
      <c r="S23" s="737"/>
      <c r="T23" s="738"/>
      <c r="U23" s="739"/>
      <c r="V23" s="737"/>
      <c r="W23" s="738"/>
    </row>
    <row r="24" spans="1:23">
      <c r="A24" s="98"/>
      <c r="B24" s="99" t="s">
        <v>49</v>
      </c>
      <c r="C24" s="401"/>
      <c r="D24" s="401"/>
      <c r="E24" s="401"/>
      <c r="F24" s="401"/>
      <c r="G24" s="401">
        <f t="shared" si="1"/>
        <v>0</v>
      </c>
      <c r="H24" s="401"/>
      <c r="I24" s="401"/>
      <c r="J24" s="401"/>
      <c r="K24" s="401">
        <f t="shared" si="2"/>
        <v>0</v>
      </c>
      <c r="L24" s="402">
        <f t="shared" si="3"/>
        <v>0</v>
      </c>
      <c r="M24" s="401">
        <f t="shared" si="4"/>
        <v>0</v>
      </c>
      <c r="N24" s="403">
        <f t="shared" si="5"/>
        <v>0</v>
      </c>
      <c r="O24" s="404"/>
      <c r="P24" s="405"/>
      <c r="Q24" s="406"/>
      <c r="R24" s="736"/>
      <c r="S24" s="737"/>
      <c r="T24" s="738"/>
      <c r="U24" s="739"/>
      <c r="V24" s="737"/>
      <c r="W24" s="738"/>
    </row>
    <row r="25" spans="1:23" ht="14.25" customHeight="1">
      <c r="A25" s="100" t="s">
        <v>45</v>
      </c>
      <c r="B25" s="99"/>
      <c r="C25" s="401">
        <f>SUM(C26:C27)</f>
        <v>0</v>
      </c>
      <c r="D25" s="401">
        <f t="shared" ref="D25" si="6">SUM(D26:D27)</f>
        <v>0</v>
      </c>
      <c r="E25" s="401">
        <f t="shared" ref="E25" si="7">SUM(E26:E27)</f>
        <v>0</v>
      </c>
      <c r="F25" s="401">
        <f t="shared" ref="F25" si="8">SUM(F26:F27)</f>
        <v>0</v>
      </c>
      <c r="G25" s="401">
        <f t="shared" si="1"/>
        <v>0</v>
      </c>
      <c r="H25" s="401">
        <f t="shared" ref="H25" si="9">SUM(H26:H27)</f>
        <v>0</v>
      </c>
      <c r="I25" s="401">
        <f t="shared" ref="I25" si="10">SUM(I26:I27)</f>
        <v>0</v>
      </c>
      <c r="J25" s="401">
        <f t="shared" ref="J25" si="11">SUM(J26:J27)</f>
        <v>0</v>
      </c>
      <c r="K25" s="401">
        <f t="shared" si="2"/>
        <v>0</v>
      </c>
      <c r="L25" s="402">
        <f>IF(K25=0,0,K25/H25)</f>
        <v>0</v>
      </c>
      <c r="M25" s="401">
        <f t="shared" si="4"/>
        <v>0</v>
      </c>
      <c r="N25" s="403">
        <f>IF(M25=0,0,M25/H25)</f>
        <v>0</v>
      </c>
      <c r="O25" s="404"/>
      <c r="P25" s="405"/>
      <c r="Q25" s="406"/>
      <c r="R25" s="736"/>
      <c r="S25" s="737"/>
      <c r="T25" s="738"/>
      <c r="U25" s="739"/>
      <c r="V25" s="737"/>
      <c r="W25" s="738"/>
    </row>
    <row r="26" spans="1:23">
      <c r="A26" s="98"/>
      <c r="B26" s="99" t="s">
        <v>45</v>
      </c>
      <c r="C26" s="401"/>
      <c r="D26" s="401"/>
      <c r="E26" s="401"/>
      <c r="F26" s="401"/>
      <c r="G26" s="401">
        <f t="shared" si="1"/>
        <v>0</v>
      </c>
      <c r="H26" s="401"/>
      <c r="I26" s="401"/>
      <c r="J26" s="401"/>
      <c r="K26" s="401">
        <f t="shared" si="2"/>
        <v>0</v>
      </c>
      <c r="L26" s="402">
        <f t="shared" si="3"/>
        <v>0</v>
      </c>
      <c r="M26" s="401">
        <f t="shared" si="4"/>
        <v>0</v>
      </c>
      <c r="N26" s="403">
        <f t="shared" si="5"/>
        <v>0</v>
      </c>
      <c r="O26" s="404"/>
      <c r="P26" s="405"/>
      <c r="Q26" s="406"/>
      <c r="R26" s="736"/>
      <c r="S26" s="737"/>
      <c r="T26" s="738"/>
      <c r="U26" s="739"/>
      <c r="V26" s="737"/>
      <c r="W26" s="738"/>
    </row>
    <row r="27" spans="1:23">
      <c r="A27" s="98"/>
      <c r="B27" s="99" t="s">
        <v>49</v>
      </c>
      <c r="C27" s="401"/>
      <c r="D27" s="401"/>
      <c r="E27" s="401"/>
      <c r="F27" s="401"/>
      <c r="G27" s="401">
        <f t="shared" si="1"/>
        <v>0</v>
      </c>
      <c r="H27" s="401"/>
      <c r="I27" s="401"/>
      <c r="J27" s="401"/>
      <c r="K27" s="401">
        <f t="shared" si="2"/>
        <v>0</v>
      </c>
      <c r="L27" s="402">
        <f t="shared" si="3"/>
        <v>0</v>
      </c>
      <c r="M27" s="401">
        <f t="shared" si="4"/>
        <v>0</v>
      </c>
      <c r="N27" s="403">
        <f t="shared" si="5"/>
        <v>0</v>
      </c>
      <c r="O27" s="404"/>
      <c r="P27" s="405"/>
      <c r="Q27" s="406"/>
      <c r="R27" s="736"/>
      <c r="S27" s="737"/>
      <c r="T27" s="738"/>
      <c r="U27" s="739"/>
      <c r="V27" s="737"/>
      <c r="W27" s="738"/>
    </row>
    <row r="28" spans="1:23" ht="14.25" customHeight="1">
      <c r="A28" s="100" t="s">
        <v>46</v>
      </c>
      <c r="B28" s="99"/>
      <c r="C28" s="401">
        <f>SUM(C29:C30)</f>
        <v>0</v>
      </c>
      <c r="D28" s="401">
        <f t="shared" ref="D28" si="12">SUM(D29:D30)</f>
        <v>0</v>
      </c>
      <c r="E28" s="401">
        <f t="shared" ref="E28" si="13">SUM(E29:E30)</f>
        <v>0</v>
      </c>
      <c r="F28" s="401">
        <f t="shared" ref="F28" si="14">SUM(F29:F30)</f>
        <v>0</v>
      </c>
      <c r="G28" s="401">
        <f t="shared" si="1"/>
        <v>0</v>
      </c>
      <c r="H28" s="401">
        <f t="shared" ref="H28" si="15">SUM(H29:H30)</f>
        <v>0</v>
      </c>
      <c r="I28" s="401">
        <f t="shared" ref="I28" si="16">SUM(I29:I30)</f>
        <v>0</v>
      </c>
      <c r="J28" s="401">
        <f t="shared" ref="J28" si="17">SUM(J29:J30)</f>
        <v>0</v>
      </c>
      <c r="K28" s="401">
        <f t="shared" si="2"/>
        <v>0</v>
      </c>
      <c r="L28" s="402">
        <f>IF(K28=0,0,K28/H28)</f>
        <v>0</v>
      </c>
      <c r="M28" s="401">
        <f t="shared" si="4"/>
        <v>0</v>
      </c>
      <c r="N28" s="403">
        <f>IF(M28=0,0,M28/H28)</f>
        <v>0</v>
      </c>
      <c r="O28" s="404"/>
      <c r="P28" s="405"/>
      <c r="Q28" s="406"/>
      <c r="R28" s="736"/>
      <c r="S28" s="737"/>
      <c r="T28" s="738"/>
      <c r="U28" s="739"/>
      <c r="V28" s="737"/>
      <c r="W28" s="738"/>
    </row>
    <row r="29" spans="1:23">
      <c r="A29" s="98"/>
      <c r="B29" s="99" t="s">
        <v>46</v>
      </c>
      <c r="C29" s="401"/>
      <c r="D29" s="401"/>
      <c r="E29" s="401"/>
      <c r="F29" s="401"/>
      <c r="G29" s="401">
        <f t="shared" si="1"/>
        <v>0</v>
      </c>
      <c r="H29" s="401"/>
      <c r="I29" s="401"/>
      <c r="J29" s="401"/>
      <c r="K29" s="401">
        <f t="shared" si="2"/>
        <v>0</v>
      </c>
      <c r="L29" s="402">
        <f t="shared" si="3"/>
        <v>0</v>
      </c>
      <c r="M29" s="401">
        <f t="shared" si="4"/>
        <v>0</v>
      </c>
      <c r="N29" s="403">
        <f t="shared" si="5"/>
        <v>0</v>
      </c>
      <c r="O29" s="404"/>
      <c r="P29" s="405"/>
      <c r="Q29" s="406"/>
      <c r="R29" s="736"/>
      <c r="S29" s="737"/>
      <c r="T29" s="738"/>
      <c r="U29" s="739"/>
      <c r="V29" s="737"/>
      <c r="W29" s="738"/>
    </row>
    <row r="30" spans="1:23">
      <c r="A30" s="98"/>
      <c r="B30" s="99" t="s">
        <v>49</v>
      </c>
      <c r="C30" s="401"/>
      <c r="D30" s="401"/>
      <c r="E30" s="401"/>
      <c r="F30" s="401"/>
      <c r="G30" s="401">
        <f t="shared" si="1"/>
        <v>0</v>
      </c>
      <c r="H30" s="401"/>
      <c r="I30" s="401"/>
      <c r="J30" s="401"/>
      <c r="K30" s="401">
        <f t="shared" si="2"/>
        <v>0</v>
      </c>
      <c r="L30" s="402">
        <f t="shared" si="3"/>
        <v>0</v>
      </c>
      <c r="M30" s="401">
        <f t="shared" si="4"/>
        <v>0</v>
      </c>
      <c r="N30" s="403">
        <f t="shared" si="5"/>
        <v>0</v>
      </c>
      <c r="O30" s="404"/>
      <c r="P30" s="405"/>
      <c r="Q30" s="406"/>
      <c r="R30" s="736"/>
      <c r="S30" s="737"/>
      <c r="T30" s="738"/>
      <c r="U30" s="739"/>
      <c r="V30" s="737"/>
      <c r="W30" s="738"/>
    </row>
    <row r="31" spans="1:23" ht="14.25" customHeight="1">
      <c r="A31" s="100" t="s">
        <v>47</v>
      </c>
      <c r="B31" s="99"/>
      <c r="C31" s="401">
        <f>SUM(C32:C33)</f>
        <v>0</v>
      </c>
      <c r="D31" s="401">
        <f t="shared" ref="D31" si="18">SUM(D32:D33)</f>
        <v>0</v>
      </c>
      <c r="E31" s="401">
        <f t="shared" ref="E31" si="19">SUM(E32:E33)</f>
        <v>0</v>
      </c>
      <c r="F31" s="401">
        <f t="shared" ref="F31" si="20">SUM(F32:F33)</f>
        <v>0</v>
      </c>
      <c r="G31" s="401">
        <f t="shared" si="1"/>
        <v>0</v>
      </c>
      <c r="H31" s="401">
        <f t="shared" ref="H31" si="21">SUM(H32:H33)</f>
        <v>0</v>
      </c>
      <c r="I31" s="401">
        <f t="shared" ref="I31" si="22">SUM(I32:I33)</f>
        <v>0</v>
      </c>
      <c r="J31" s="401">
        <f t="shared" ref="J31" si="23">SUM(J32:J33)</f>
        <v>0</v>
      </c>
      <c r="K31" s="401">
        <f t="shared" si="2"/>
        <v>0</v>
      </c>
      <c r="L31" s="402">
        <f>IF(K31=0,0,K31/H31)</f>
        <v>0</v>
      </c>
      <c r="M31" s="401">
        <f t="shared" si="4"/>
        <v>0</v>
      </c>
      <c r="N31" s="403">
        <f>IF(M31=0,0,M31/H31)</f>
        <v>0</v>
      </c>
      <c r="O31" s="404"/>
      <c r="P31" s="405"/>
      <c r="Q31" s="406"/>
      <c r="R31" s="736"/>
      <c r="S31" s="737"/>
      <c r="T31" s="738"/>
      <c r="U31" s="739"/>
      <c r="V31" s="737"/>
      <c r="W31" s="738"/>
    </row>
    <row r="32" spans="1:23">
      <c r="A32" s="98"/>
      <c r="B32" s="99" t="s">
        <v>47</v>
      </c>
      <c r="C32" s="401"/>
      <c r="D32" s="407"/>
      <c r="E32" s="401"/>
      <c r="F32" s="407"/>
      <c r="G32" s="407">
        <f t="shared" si="1"/>
        <v>0</v>
      </c>
      <c r="H32" s="407"/>
      <c r="I32" s="407"/>
      <c r="J32" s="401"/>
      <c r="K32" s="407">
        <f t="shared" si="2"/>
        <v>0</v>
      </c>
      <c r="L32" s="408">
        <f t="shared" si="3"/>
        <v>0</v>
      </c>
      <c r="M32" s="407">
        <f t="shared" si="4"/>
        <v>0</v>
      </c>
      <c r="N32" s="409">
        <f t="shared" si="5"/>
        <v>0</v>
      </c>
      <c r="O32" s="404"/>
      <c r="P32" s="410"/>
      <c r="Q32" s="411"/>
      <c r="R32" s="736"/>
      <c r="S32" s="737"/>
      <c r="T32" s="738"/>
      <c r="U32" s="739"/>
      <c r="V32" s="737"/>
      <c r="W32" s="738"/>
    </row>
    <row r="33" spans="1:23" ht="12.75" customHeight="1">
      <c r="A33" s="98"/>
      <c r="B33" s="99" t="s">
        <v>49</v>
      </c>
      <c r="C33" s="401"/>
      <c r="D33" s="407"/>
      <c r="E33" s="401"/>
      <c r="F33" s="407"/>
      <c r="G33" s="407">
        <f t="shared" si="1"/>
        <v>0</v>
      </c>
      <c r="H33" s="407"/>
      <c r="I33" s="407"/>
      <c r="J33" s="401"/>
      <c r="K33" s="407">
        <f t="shared" si="2"/>
        <v>0</v>
      </c>
      <c r="L33" s="408">
        <f t="shared" si="3"/>
        <v>0</v>
      </c>
      <c r="M33" s="407">
        <f t="shared" si="4"/>
        <v>0</v>
      </c>
      <c r="N33" s="409">
        <f t="shared" si="5"/>
        <v>0</v>
      </c>
      <c r="O33" s="404"/>
      <c r="P33" s="410"/>
      <c r="Q33" s="411"/>
      <c r="R33" s="736"/>
      <c r="S33" s="737"/>
      <c r="T33" s="738"/>
      <c r="U33" s="739"/>
      <c r="V33" s="737"/>
      <c r="W33" s="738"/>
    </row>
    <row r="34" spans="1:23" ht="14.25" customHeight="1">
      <c r="A34" s="98" t="s">
        <v>48</v>
      </c>
      <c r="B34" s="99"/>
      <c r="C34" s="401">
        <f>SUM(C35:C36)</f>
        <v>0</v>
      </c>
      <c r="D34" s="401">
        <f t="shared" ref="D34" si="24">SUM(D35:D36)</f>
        <v>0</v>
      </c>
      <c r="E34" s="401">
        <f t="shared" ref="E34" si="25">SUM(E35:E36)</f>
        <v>0</v>
      </c>
      <c r="F34" s="401">
        <f t="shared" ref="F34" si="26">SUM(F35:F36)</f>
        <v>0</v>
      </c>
      <c r="G34" s="401">
        <f t="shared" si="1"/>
        <v>0</v>
      </c>
      <c r="H34" s="401">
        <f t="shared" ref="H34" si="27">SUM(H35:H36)</f>
        <v>0</v>
      </c>
      <c r="I34" s="401">
        <f t="shared" ref="I34" si="28">SUM(I35:I36)</f>
        <v>0</v>
      </c>
      <c r="J34" s="401">
        <f t="shared" ref="J34" si="29">SUM(J35:J36)</f>
        <v>0</v>
      </c>
      <c r="K34" s="401">
        <f t="shared" si="2"/>
        <v>0</v>
      </c>
      <c r="L34" s="402">
        <f>IF(K34=0,0,K34/H34)</f>
        <v>0</v>
      </c>
      <c r="M34" s="401">
        <f t="shared" si="4"/>
        <v>0</v>
      </c>
      <c r="N34" s="403">
        <f>IF(M34=0,0,M34/H34)</f>
        <v>0</v>
      </c>
      <c r="O34" s="404"/>
      <c r="P34" s="405"/>
      <c r="Q34" s="406"/>
      <c r="R34" s="736"/>
      <c r="S34" s="737"/>
      <c r="T34" s="738"/>
      <c r="U34" s="739"/>
      <c r="V34" s="737"/>
      <c r="W34" s="738"/>
    </row>
    <row r="35" spans="1:23">
      <c r="A35" s="100"/>
      <c r="B35" s="99" t="s">
        <v>48</v>
      </c>
      <c r="C35" s="401"/>
      <c r="D35" s="401"/>
      <c r="E35" s="401"/>
      <c r="F35" s="401"/>
      <c r="G35" s="401">
        <f t="shared" si="1"/>
        <v>0</v>
      </c>
      <c r="H35" s="401"/>
      <c r="I35" s="401"/>
      <c r="J35" s="401"/>
      <c r="K35" s="401">
        <f t="shared" si="2"/>
        <v>0</v>
      </c>
      <c r="L35" s="402">
        <f t="shared" si="3"/>
        <v>0</v>
      </c>
      <c r="M35" s="401">
        <f t="shared" si="4"/>
        <v>0</v>
      </c>
      <c r="N35" s="403">
        <f t="shared" si="5"/>
        <v>0</v>
      </c>
      <c r="O35" s="404"/>
      <c r="P35" s="405"/>
      <c r="Q35" s="406"/>
      <c r="R35" s="736"/>
      <c r="S35" s="737"/>
      <c r="T35" s="738"/>
      <c r="U35" s="739"/>
      <c r="V35" s="737"/>
      <c r="W35" s="738"/>
    </row>
    <row r="36" spans="1:23">
      <c r="A36" s="98"/>
      <c r="B36" s="99" t="s">
        <v>49</v>
      </c>
      <c r="C36" s="401"/>
      <c r="D36" s="401"/>
      <c r="E36" s="401"/>
      <c r="F36" s="401"/>
      <c r="G36" s="401">
        <f t="shared" si="1"/>
        <v>0</v>
      </c>
      <c r="H36" s="401"/>
      <c r="I36" s="401"/>
      <c r="J36" s="401"/>
      <c r="K36" s="401">
        <f t="shared" si="2"/>
        <v>0</v>
      </c>
      <c r="L36" s="402">
        <f t="shared" si="3"/>
        <v>0</v>
      </c>
      <c r="M36" s="401">
        <f t="shared" si="4"/>
        <v>0</v>
      </c>
      <c r="N36" s="403">
        <f t="shared" si="5"/>
        <v>0</v>
      </c>
      <c r="O36" s="404"/>
      <c r="P36" s="405"/>
      <c r="Q36" s="406"/>
      <c r="R36" s="736"/>
      <c r="S36" s="737"/>
      <c r="T36" s="738"/>
      <c r="U36" s="739"/>
      <c r="V36" s="737"/>
      <c r="W36" s="738"/>
    </row>
    <row r="37" spans="1:23" ht="14.25" customHeight="1">
      <c r="A37" s="98" t="s">
        <v>219</v>
      </c>
      <c r="B37" s="99"/>
      <c r="C37" s="401">
        <f>SUM(C38:C39)</f>
        <v>0</v>
      </c>
      <c r="D37" s="401">
        <f t="shared" ref="D37" si="30">SUM(D38:D39)</f>
        <v>0</v>
      </c>
      <c r="E37" s="401">
        <f t="shared" ref="E37" si="31">SUM(E38:E39)</f>
        <v>0</v>
      </c>
      <c r="F37" s="401">
        <f t="shared" ref="F37" si="32">SUM(F38:F39)</f>
        <v>0</v>
      </c>
      <c r="G37" s="401">
        <f t="shared" si="1"/>
        <v>0</v>
      </c>
      <c r="H37" s="401">
        <f t="shared" ref="H37" si="33">SUM(H38:H39)</f>
        <v>0</v>
      </c>
      <c r="I37" s="401">
        <f t="shared" ref="I37" si="34">SUM(I38:I39)</f>
        <v>0</v>
      </c>
      <c r="J37" s="401">
        <f t="shared" ref="J37" si="35">SUM(J38:J39)</f>
        <v>0</v>
      </c>
      <c r="K37" s="401">
        <f t="shared" si="2"/>
        <v>0</v>
      </c>
      <c r="L37" s="402">
        <f>IF(K37=0,0,K37/H37)</f>
        <v>0</v>
      </c>
      <c r="M37" s="401">
        <f t="shared" si="4"/>
        <v>0</v>
      </c>
      <c r="N37" s="403">
        <f>IF(M37=0,0,M37/H37)</f>
        <v>0</v>
      </c>
      <c r="O37" s="404"/>
      <c r="P37" s="405"/>
      <c r="Q37" s="406"/>
      <c r="R37" s="736"/>
      <c r="S37" s="737"/>
      <c r="T37" s="738"/>
      <c r="U37" s="739"/>
      <c r="V37" s="737"/>
      <c r="W37" s="738"/>
    </row>
    <row r="38" spans="1:23" ht="14.25" customHeight="1">
      <c r="A38" s="100"/>
      <c r="B38" s="99" t="s">
        <v>219</v>
      </c>
      <c r="C38" s="401"/>
      <c r="D38" s="407"/>
      <c r="E38" s="401"/>
      <c r="F38" s="407"/>
      <c r="G38" s="407">
        <f t="shared" si="1"/>
        <v>0</v>
      </c>
      <c r="H38" s="407"/>
      <c r="I38" s="407"/>
      <c r="J38" s="401"/>
      <c r="K38" s="407">
        <f t="shared" si="2"/>
        <v>0</v>
      </c>
      <c r="L38" s="408">
        <f t="shared" si="3"/>
        <v>0</v>
      </c>
      <c r="M38" s="401">
        <f t="shared" si="4"/>
        <v>0</v>
      </c>
      <c r="N38" s="403">
        <f t="shared" si="5"/>
        <v>0</v>
      </c>
      <c r="O38" s="404"/>
      <c r="P38" s="405"/>
      <c r="Q38" s="406"/>
      <c r="R38" s="736"/>
      <c r="S38" s="737"/>
      <c r="T38" s="738"/>
      <c r="U38" s="739"/>
      <c r="V38" s="737"/>
      <c r="W38" s="738"/>
    </row>
    <row r="39" spans="1:23">
      <c r="A39" s="98"/>
      <c r="B39" s="99" t="s">
        <v>49</v>
      </c>
      <c r="C39" s="401"/>
      <c r="D39" s="407"/>
      <c r="E39" s="401"/>
      <c r="F39" s="407"/>
      <c r="G39" s="407">
        <f t="shared" si="1"/>
        <v>0</v>
      </c>
      <c r="H39" s="407"/>
      <c r="I39" s="407"/>
      <c r="J39" s="401"/>
      <c r="K39" s="407">
        <f t="shared" si="2"/>
        <v>0</v>
      </c>
      <c r="L39" s="408">
        <f t="shared" si="3"/>
        <v>0</v>
      </c>
      <c r="M39" s="401">
        <f t="shared" si="4"/>
        <v>0</v>
      </c>
      <c r="N39" s="403">
        <f t="shared" si="5"/>
        <v>0</v>
      </c>
      <c r="O39" s="404"/>
      <c r="P39" s="405"/>
      <c r="Q39" s="406"/>
      <c r="R39" s="736"/>
      <c r="S39" s="737"/>
      <c r="T39" s="738"/>
      <c r="U39" s="739"/>
      <c r="V39" s="737"/>
      <c r="W39" s="738"/>
    </row>
    <row r="40" spans="1:23" ht="9.75" customHeight="1">
      <c r="A40" s="98"/>
      <c r="B40" s="99"/>
      <c r="C40" s="401"/>
      <c r="D40" s="401"/>
      <c r="E40" s="401"/>
      <c r="F40" s="401"/>
      <c r="G40" s="401">
        <f t="shared" si="1"/>
        <v>0</v>
      </c>
      <c r="H40" s="401"/>
      <c r="I40" s="401"/>
      <c r="J40" s="401"/>
      <c r="K40" s="401">
        <f t="shared" si="2"/>
        <v>0</v>
      </c>
      <c r="L40" s="402">
        <f t="shared" si="3"/>
        <v>0</v>
      </c>
      <c r="M40" s="401">
        <f t="shared" si="4"/>
        <v>0</v>
      </c>
      <c r="N40" s="403">
        <f t="shared" si="5"/>
        <v>0</v>
      </c>
      <c r="O40" s="404"/>
      <c r="P40" s="405"/>
      <c r="Q40" s="406"/>
      <c r="R40" s="736"/>
      <c r="S40" s="737"/>
      <c r="T40" s="738"/>
      <c r="U40" s="739"/>
      <c r="V40" s="737"/>
      <c r="W40" s="738"/>
    </row>
    <row r="41" spans="1:23" ht="14.25" customHeight="1">
      <c r="A41" s="104" t="s">
        <v>170</v>
      </c>
      <c r="B41" s="101"/>
      <c r="C41" s="412">
        <f>SUM(C21:C40)/2</f>
        <v>0</v>
      </c>
      <c r="D41" s="412">
        <f t="shared" ref="D41:J41" si="36">SUM(D21:D40)/2</f>
        <v>0</v>
      </c>
      <c r="E41" s="412">
        <f t="shared" si="36"/>
        <v>0</v>
      </c>
      <c r="F41" s="412">
        <f t="shared" si="36"/>
        <v>0</v>
      </c>
      <c r="G41" s="412">
        <f t="shared" si="1"/>
        <v>0</v>
      </c>
      <c r="H41" s="412">
        <f t="shared" si="36"/>
        <v>0</v>
      </c>
      <c r="I41" s="412">
        <f t="shared" si="36"/>
        <v>0</v>
      </c>
      <c r="J41" s="412">
        <f t="shared" si="36"/>
        <v>0</v>
      </c>
      <c r="K41" s="413">
        <f t="shared" si="2"/>
        <v>0</v>
      </c>
      <c r="L41" s="414">
        <f t="shared" si="3"/>
        <v>0</v>
      </c>
      <c r="M41" s="412">
        <f t="shared" si="4"/>
        <v>0</v>
      </c>
      <c r="N41" s="415">
        <f t="shared" si="5"/>
        <v>0</v>
      </c>
      <c r="O41" s="416"/>
      <c r="P41" s="417"/>
      <c r="Q41" s="418"/>
      <c r="R41" s="740"/>
      <c r="S41" s="741"/>
      <c r="T41" s="742"/>
      <c r="U41" s="743"/>
      <c r="V41" s="741"/>
      <c r="W41" s="742"/>
    </row>
    <row r="42" spans="1:23">
      <c r="R42" s="13"/>
      <c r="S42" s="13"/>
      <c r="T42" s="13"/>
      <c r="U42" s="13"/>
      <c r="V42" s="13"/>
      <c r="W42" s="13"/>
    </row>
  </sheetData>
  <mergeCells count="64"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  <mergeCell ref="R21:T21"/>
    <mergeCell ref="U21:W21"/>
    <mergeCell ref="R23:T23"/>
    <mergeCell ref="U23:W23"/>
    <mergeCell ref="R24:T24"/>
    <mergeCell ref="U24:W24"/>
    <mergeCell ref="R25:T25"/>
    <mergeCell ref="U25:W25"/>
    <mergeCell ref="R26:T26"/>
    <mergeCell ref="U26:W26"/>
    <mergeCell ref="R27:T27"/>
    <mergeCell ref="U27:W27"/>
    <mergeCell ref="R28:T28"/>
    <mergeCell ref="U28:W28"/>
    <mergeCell ref="R29:T29"/>
    <mergeCell ref="U29:W29"/>
    <mergeCell ref="R30:T30"/>
    <mergeCell ref="U30:W30"/>
    <mergeCell ref="R31:T31"/>
    <mergeCell ref="U31:W31"/>
    <mergeCell ref="R32:T32"/>
    <mergeCell ref="U32:W32"/>
    <mergeCell ref="R33:T33"/>
    <mergeCell ref="U33:W33"/>
    <mergeCell ref="R34:T34"/>
    <mergeCell ref="U34:W34"/>
    <mergeCell ref="R35:T35"/>
    <mergeCell ref="U35:W35"/>
    <mergeCell ref="R36:T36"/>
    <mergeCell ref="U36:W36"/>
    <mergeCell ref="R40:T40"/>
    <mergeCell ref="U40:W40"/>
    <mergeCell ref="R41:T41"/>
    <mergeCell ref="U41:W41"/>
    <mergeCell ref="R37:T37"/>
    <mergeCell ref="U37:W37"/>
    <mergeCell ref="R38:T38"/>
    <mergeCell ref="U38:W38"/>
    <mergeCell ref="R39:T39"/>
    <mergeCell ref="U39:W3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G23" sqref="G23"/>
      <selection pane="bottomLeft" activeCell="G23" sqref="G23"/>
    </sheetView>
  </sheetViews>
  <sheetFormatPr defaultColWidth="6.85546875" defaultRowHeight="12.75" customHeight="1"/>
  <cols>
    <col min="1" max="1" width="1" style="82" customWidth="1"/>
    <col min="2" max="3" width="1.85546875" style="82" customWidth="1"/>
    <col min="4" max="4" width="2.85546875" style="82" customWidth="1"/>
    <col min="5" max="6" width="1" style="82" customWidth="1"/>
    <col min="7" max="7" width="1.85546875" style="82" customWidth="1"/>
    <col min="8" max="8" width="1" style="82" customWidth="1"/>
    <col min="9" max="9" width="13.5703125" style="82" customWidth="1"/>
    <col min="10" max="10" width="24" style="82" customWidth="1"/>
    <col min="11" max="11" width="1.85546875" style="82" customWidth="1"/>
    <col min="12" max="12" width="2" style="82" customWidth="1"/>
    <col min="13" max="13" width="3.140625" style="82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76"/>
      <c r="U1" s="776"/>
      <c r="V1" s="776"/>
      <c r="W1" s="776"/>
    </row>
    <row r="2" spans="1:24" ht="24.75" customHeight="1">
      <c r="A2" s="660" t="str">
        <f>封面!$A$4</f>
        <v>彰化縣地方教育發展基金－彰化縣秀水鄉馬興國民小學</v>
      </c>
      <c r="B2" s="626"/>
      <c r="C2" s="626"/>
      <c r="D2" s="626"/>
      <c r="E2" s="626"/>
      <c r="F2" s="626"/>
      <c r="G2" s="626"/>
      <c r="H2" s="626"/>
      <c r="I2" s="626"/>
      <c r="J2" s="626"/>
      <c r="K2" s="626"/>
      <c r="L2" s="626"/>
      <c r="M2" s="626"/>
      <c r="N2" s="626"/>
      <c r="O2" s="626"/>
      <c r="P2" s="626"/>
      <c r="Q2" s="626"/>
      <c r="R2" s="626"/>
      <c r="S2" s="626"/>
      <c r="T2" s="626"/>
      <c r="U2" s="626"/>
      <c r="V2" s="626"/>
      <c r="W2" s="626"/>
    </row>
    <row r="3" spans="1:24" ht="20.25" customHeight="1">
      <c r="A3" s="714" t="s">
        <v>66</v>
      </c>
      <c r="B3" s="714"/>
      <c r="C3" s="714"/>
      <c r="D3" s="714"/>
      <c r="E3" s="714"/>
      <c r="F3" s="714"/>
      <c r="G3" s="714"/>
      <c r="H3" s="714"/>
      <c r="I3" s="714"/>
      <c r="J3" s="714"/>
      <c r="K3" s="714"/>
      <c r="L3" s="714"/>
      <c r="M3" s="714"/>
      <c r="N3" s="714"/>
      <c r="O3" s="714"/>
      <c r="P3" s="714"/>
      <c r="Q3" s="714"/>
      <c r="R3" s="714"/>
      <c r="S3" s="714"/>
      <c r="T3" s="714"/>
      <c r="U3" s="714"/>
      <c r="V3" s="714"/>
      <c r="W3" s="714"/>
    </row>
    <row r="4" spans="1:24" ht="20.25" customHeight="1">
      <c r="A4" s="658" t="str">
        <f>封面!$E$10&amp;封面!$H$10&amp;封面!$I$10&amp;封面!$J$10&amp;封面!$K$10&amp;封面!L10</f>
        <v>中華民國113年1月份</v>
      </c>
      <c r="B4" s="658"/>
      <c r="C4" s="658"/>
      <c r="D4" s="658"/>
      <c r="E4" s="658"/>
      <c r="F4" s="658"/>
      <c r="G4" s="658"/>
      <c r="H4" s="658"/>
      <c r="I4" s="658"/>
      <c r="J4" s="658"/>
      <c r="K4" s="658"/>
      <c r="L4" s="658"/>
      <c r="M4" s="658"/>
      <c r="N4" s="658"/>
      <c r="O4" s="658"/>
      <c r="P4" s="658"/>
      <c r="Q4" s="658"/>
      <c r="R4" s="658"/>
      <c r="S4" s="658"/>
      <c r="T4" s="658"/>
      <c r="U4" s="658"/>
      <c r="V4" s="658"/>
      <c r="W4" s="658"/>
    </row>
    <row r="5" spans="1:24" ht="16.5">
      <c r="S5" s="778" t="s">
        <v>1</v>
      </c>
      <c r="T5" s="626"/>
      <c r="U5" s="626"/>
      <c r="V5" s="626"/>
      <c r="W5" s="626"/>
    </row>
    <row r="6" spans="1:24" ht="14.25" hidden="1"/>
    <row r="7" spans="1:24" ht="8.1" customHeight="1">
      <c r="A7" s="719" t="s">
        <v>6</v>
      </c>
      <c r="B7" s="777"/>
      <c r="C7" s="777"/>
      <c r="D7" s="777"/>
      <c r="E7" s="777"/>
      <c r="F7" s="777"/>
      <c r="G7" s="777"/>
      <c r="H7" s="777"/>
      <c r="I7" s="777"/>
      <c r="J7" s="777"/>
      <c r="K7" s="777"/>
      <c r="L7" s="777"/>
      <c r="M7" s="777"/>
      <c r="N7" s="719" t="s">
        <v>68</v>
      </c>
      <c r="O7" s="775"/>
      <c r="P7" s="719" t="s">
        <v>69</v>
      </c>
      <c r="Q7" s="775"/>
      <c r="R7" s="719" t="s">
        <v>67</v>
      </c>
      <c r="S7" s="775"/>
      <c r="T7" s="775"/>
      <c r="U7" s="775"/>
      <c r="V7" s="775"/>
      <c r="W7" s="775"/>
      <c r="X7" s="6"/>
    </row>
    <row r="8" spans="1:24" ht="8.1" customHeight="1">
      <c r="A8" s="777"/>
      <c r="B8" s="777"/>
      <c r="C8" s="777"/>
      <c r="D8" s="777"/>
      <c r="E8" s="777"/>
      <c r="F8" s="777"/>
      <c r="G8" s="777"/>
      <c r="H8" s="777"/>
      <c r="I8" s="777"/>
      <c r="J8" s="777"/>
      <c r="K8" s="777"/>
      <c r="L8" s="777"/>
      <c r="M8" s="777"/>
      <c r="N8" s="775"/>
      <c r="O8" s="775"/>
      <c r="P8" s="775"/>
      <c r="Q8" s="775"/>
      <c r="R8" s="775"/>
      <c r="S8" s="775"/>
      <c r="T8" s="775"/>
      <c r="U8" s="775"/>
      <c r="V8" s="775"/>
      <c r="W8" s="775"/>
      <c r="X8" s="6"/>
    </row>
    <row r="9" spans="1:24" ht="8.1" customHeight="1">
      <c r="A9" s="777"/>
      <c r="B9" s="777"/>
      <c r="C9" s="777"/>
      <c r="D9" s="777"/>
      <c r="E9" s="777"/>
      <c r="F9" s="777"/>
      <c r="G9" s="777"/>
      <c r="H9" s="777"/>
      <c r="I9" s="777"/>
      <c r="J9" s="777"/>
      <c r="K9" s="777"/>
      <c r="L9" s="777"/>
      <c r="M9" s="777"/>
      <c r="N9" s="775"/>
      <c r="O9" s="775"/>
      <c r="P9" s="775"/>
      <c r="Q9" s="775"/>
      <c r="R9" s="719" t="s">
        <v>4</v>
      </c>
      <c r="S9" s="775"/>
      <c r="T9" s="775"/>
      <c r="U9" s="775"/>
      <c r="V9" s="80"/>
      <c r="W9" s="779" t="s">
        <v>151</v>
      </c>
      <c r="X9" s="6"/>
    </row>
    <row r="10" spans="1:24" ht="8.1" customHeight="1">
      <c r="A10" s="777"/>
      <c r="B10" s="777"/>
      <c r="C10" s="777"/>
      <c r="D10" s="777"/>
      <c r="E10" s="777"/>
      <c r="F10" s="777"/>
      <c r="G10" s="777"/>
      <c r="H10" s="777"/>
      <c r="I10" s="777"/>
      <c r="J10" s="777"/>
      <c r="K10" s="777"/>
      <c r="L10" s="777"/>
      <c r="M10" s="777"/>
      <c r="N10" s="775"/>
      <c r="O10" s="775"/>
      <c r="P10" s="775"/>
      <c r="Q10" s="775"/>
      <c r="R10" s="775"/>
      <c r="S10" s="775"/>
      <c r="T10" s="775"/>
      <c r="U10" s="775"/>
      <c r="V10" s="81"/>
      <c r="W10" s="723"/>
      <c r="X10" s="6"/>
    </row>
    <row r="11" spans="1:24" hidden="1">
      <c r="A11" s="777"/>
      <c r="B11" s="777"/>
      <c r="C11" s="777"/>
      <c r="D11" s="777"/>
      <c r="E11" s="777"/>
      <c r="F11" s="777"/>
      <c r="G11" s="777"/>
      <c r="H11" s="777"/>
      <c r="I11" s="777"/>
      <c r="J11" s="777"/>
      <c r="K11" s="777"/>
      <c r="L11" s="777"/>
      <c r="M11" s="777"/>
      <c r="N11" s="775"/>
      <c r="O11" s="775"/>
      <c r="P11" s="775"/>
      <c r="Q11" s="775"/>
      <c r="R11" s="775"/>
      <c r="S11" s="775"/>
      <c r="T11" s="775"/>
      <c r="U11" s="775"/>
      <c r="V11" s="81"/>
      <c r="W11" s="81"/>
      <c r="X11" s="6"/>
    </row>
    <row r="12" spans="1:24" ht="15.75" customHeight="1">
      <c r="A12" s="250"/>
      <c r="B12" s="87" t="s">
        <v>465</v>
      </c>
      <c r="C12" s="87"/>
      <c r="D12" s="87"/>
      <c r="E12" s="87"/>
      <c r="F12" s="87" t="s">
        <v>534</v>
      </c>
      <c r="G12" s="87"/>
      <c r="H12" s="87"/>
      <c r="I12" s="87"/>
      <c r="J12" s="87"/>
      <c r="K12" s="87"/>
      <c r="L12" s="87"/>
      <c r="M12" s="251"/>
      <c r="N12" s="256"/>
      <c r="O12" s="257">
        <v>33088000</v>
      </c>
      <c r="P12" s="258"/>
      <c r="Q12" s="257">
        <v>6876844</v>
      </c>
      <c r="R12" s="258"/>
      <c r="S12" s="257">
        <v>-26211156</v>
      </c>
      <c r="T12" s="257"/>
      <c r="U12" s="257"/>
      <c r="V12" s="258"/>
      <c r="W12" s="257" t="s">
        <v>535</v>
      </c>
      <c r="X12" s="6"/>
    </row>
    <row r="13" spans="1:24" ht="15.75" customHeight="1">
      <c r="A13" s="252"/>
      <c r="B13" s="88"/>
      <c r="C13" s="364" t="s">
        <v>467</v>
      </c>
      <c r="D13" s="364"/>
      <c r="E13" s="364"/>
      <c r="F13" s="88"/>
      <c r="G13" s="88" t="s">
        <v>536</v>
      </c>
      <c r="H13" s="88"/>
      <c r="I13" s="88"/>
      <c r="J13" s="88"/>
      <c r="K13" s="88"/>
      <c r="L13" s="88"/>
      <c r="M13" s="253"/>
      <c r="N13" s="259"/>
      <c r="O13" s="260"/>
      <c r="P13" s="260"/>
      <c r="Q13" s="261">
        <v>3805381</v>
      </c>
      <c r="R13" s="260"/>
      <c r="S13" s="261">
        <v>3805381</v>
      </c>
      <c r="T13" s="261"/>
      <c r="U13" s="261"/>
      <c r="V13" s="260"/>
      <c r="W13" s="260"/>
      <c r="X13" s="6"/>
    </row>
    <row r="14" spans="1:24" ht="15.75" customHeight="1">
      <c r="A14" s="252"/>
      <c r="B14" s="88"/>
      <c r="C14" s="364"/>
      <c r="D14" s="364" t="s">
        <v>537</v>
      </c>
      <c r="E14" s="364"/>
      <c r="F14" s="88"/>
      <c r="G14" s="88"/>
      <c r="H14" s="88"/>
      <c r="I14" s="88" t="s">
        <v>538</v>
      </c>
      <c r="J14" s="88"/>
      <c r="K14" s="88"/>
      <c r="L14" s="88"/>
      <c r="M14" s="253"/>
      <c r="N14" s="259"/>
      <c r="O14" s="260"/>
      <c r="P14" s="260"/>
      <c r="Q14" s="261">
        <v>3734521</v>
      </c>
      <c r="R14" s="260"/>
      <c r="S14" s="261">
        <v>3734521</v>
      </c>
      <c r="T14" s="261"/>
      <c r="U14" s="261"/>
      <c r="V14" s="260"/>
      <c r="W14" s="260"/>
      <c r="X14" s="6"/>
    </row>
    <row r="15" spans="1:24" ht="15.75" customHeight="1">
      <c r="A15" s="252"/>
      <c r="B15" s="88"/>
      <c r="C15" s="364"/>
      <c r="D15" s="364" t="s">
        <v>539</v>
      </c>
      <c r="E15" s="364"/>
      <c r="F15" s="88"/>
      <c r="G15" s="88"/>
      <c r="H15" s="88"/>
      <c r="I15" s="88" t="s">
        <v>540</v>
      </c>
      <c r="J15" s="88"/>
      <c r="K15" s="88"/>
      <c r="L15" s="88"/>
      <c r="M15" s="253"/>
      <c r="N15" s="259"/>
      <c r="O15" s="260"/>
      <c r="P15" s="260"/>
      <c r="Q15" s="261">
        <v>70860</v>
      </c>
      <c r="R15" s="260"/>
      <c r="S15" s="261">
        <v>70860</v>
      </c>
      <c r="T15" s="261"/>
      <c r="U15" s="261"/>
      <c r="V15" s="260"/>
      <c r="W15" s="260"/>
      <c r="X15" s="6"/>
    </row>
    <row r="16" spans="1:24" ht="15.75" customHeight="1">
      <c r="A16" s="252"/>
      <c r="B16" s="88"/>
      <c r="C16" s="364" t="s">
        <v>541</v>
      </c>
      <c r="D16" s="364"/>
      <c r="E16" s="364"/>
      <c r="F16" s="88"/>
      <c r="G16" s="88" t="s">
        <v>542</v>
      </c>
      <c r="H16" s="88"/>
      <c r="I16" s="88"/>
      <c r="J16" s="88"/>
      <c r="K16" s="88"/>
      <c r="L16" s="88"/>
      <c r="M16" s="253"/>
      <c r="N16" s="259"/>
      <c r="O16" s="260"/>
      <c r="P16" s="260"/>
      <c r="Q16" s="261">
        <v>16464</v>
      </c>
      <c r="R16" s="260"/>
      <c r="S16" s="261">
        <v>16464</v>
      </c>
      <c r="T16" s="261"/>
      <c r="U16" s="261"/>
      <c r="V16" s="260"/>
      <c r="W16" s="260"/>
      <c r="X16" s="6"/>
    </row>
    <row r="17" spans="1:24" ht="15.75" customHeight="1">
      <c r="A17" s="252"/>
      <c r="B17" s="88"/>
      <c r="C17" s="364"/>
      <c r="D17" s="364" t="s">
        <v>543</v>
      </c>
      <c r="E17" s="364"/>
      <c r="F17" s="88"/>
      <c r="G17" s="88"/>
      <c r="H17" s="88"/>
      <c r="I17" s="88" t="s">
        <v>544</v>
      </c>
      <c r="J17" s="88"/>
      <c r="K17" s="88"/>
      <c r="L17" s="88"/>
      <c r="M17" s="253"/>
      <c r="N17" s="259"/>
      <c r="O17" s="260"/>
      <c r="P17" s="260"/>
      <c r="Q17" s="261">
        <v>16464</v>
      </c>
      <c r="R17" s="260"/>
      <c r="S17" s="261">
        <v>16464</v>
      </c>
      <c r="T17" s="261"/>
      <c r="U17" s="261"/>
      <c r="V17" s="260"/>
      <c r="W17" s="260"/>
      <c r="X17" s="6"/>
    </row>
    <row r="18" spans="1:24" ht="15.75" customHeight="1">
      <c r="A18" s="252"/>
      <c r="B18" s="88"/>
      <c r="C18" s="364" t="s">
        <v>545</v>
      </c>
      <c r="D18" s="364"/>
      <c r="E18" s="364"/>
      <c r="F18" s="88"/>
      <c r="G18" s="88" t="s">
        <v>546</v>
      </c>
      <c r="H18" s="88"/>
      <c r="I18" s="88"/>
      <c r="J18" s="88"/>
      <c r="K18" s="88"/>
      <c r="L18" s="88"/>
      <c r="M18" s="253"/>
      <c r="N18" s="259"/>
      <c r="O18" s="260"/>
      <c r="P18" s="260"/>
      <c r="Q18" s="261">
        <v>2555425</v>
      </c>
      <c r="R18" s="260"/>
      <c r="S18" s="261">
        <v>2555425</v>
      </c>
      <c r="T18" s="261"/>
      <c r="U18" s="261"/>
      <c r="V18" s="260"/>
      <c r="W18" s="260"/>
      <c r="X18" s="6"/>
    </row>
    <row r="19" spans="1:24" ht="15.75" customHeight="1">
      <c r="A19" s="252"/>
      <c r="B19" s="88"/>
      <c r="C19" s="364"/>
      <c r="D19" s="364" t="s">
        <v>547</v>
      </c>
      <c r="E19" s="364"/>
      <c r="F19" s="88"/>
      <c r="G19" s="88"/>
      <c r="H19" s="88"/>
      <c r="I19" s="88" t="s">
        <v>548</v>
      </c>
      <c r="J19" s="88"/>
      <c r="K19" s="88"/>
      <c r="L19" s="88"/>
      <c r="M19" s="253"/>
      <c r="N19" s="259"/>
      <c r="O19" s="260"/>
      <c r="P19" s="260"/>
      <c r="Q19" s="261">
        <v>2555425</v>
      </c>
      <c r="R19" s="260"/>
      <c r="S19" s="261">
        <v>2555425</v>
      </c>
      <c r="T19" s="261"/>
      <c r="U19" s="261"/>
      <c r="V19" s="260"/>
      <c r="W19" s="260"/>
      <c r="X19" s="6"/>
    </row>
    <row r="20" spans="1:24" ht="15.75" customHeight="1">
      <c r="A20" s="252"/>
      <c r="B20" s="88"/>
      <c r="C20" s="364" t="s">
        <v>549</v>
      </c>
      <c r="D20" s="364"/>
      <c r="E20" s="364"/>
      <c r="F20" s="88"/>
      <c r="G20" s="88" t="s">
        <v>550</v>
      </c>
      <c r="H20" s="88"/>
      <c r="I20" s="88"/>
      <c r="J20" s="88"/>
      <c r="K20" s="88"/>
      <c r="L20" s="88"/>
      <c r="M20" s="253"/>
      <c r="N20" s="259"/>
      <c r="O20" s="260"/>
      <c r="P20" s="260"/>
      <c r="Q20" s="261">
        <v>383492</v>
      </c>
      <c r="R20" s="260"/>
      <c r="S20" s="261">
        <v>383492</v>
      </c>
      <c r="T20" s="261"/>
      <c r="U20" s="261"/>
      <c r="V20" s="260"/>
      <c r="W20" s="260"/>
      <c r="X20" s="6"/>
    </row>
    <row r="21" spans="1:24" ht="15.75" customHeight="1">
      <c r="A21" s="252"/>
      <c r="B21" s="88"/>
      <c r="C21" s="364"/>
      <c r="D21" s="364" t="s">
        <v>551</v>
      </c>
      <c r="E21" s="364"/>
      <c r="F21" s="88"/>
      <c r="G21" s="88"/>
      <c r="H21" s="88"/>
      <c r="I21" s="88" t="s">
        <v>552</v>
      </c>
      <c r="J21" s="88"/>
      <c r="K21" s="88"/>
      <c r="L21" s="88"/>
      <c r="M21" s="253"/>
      <c r="N21" s="259"/>
      <c r="O21" s="260"/>
      <c r="P21" s="260"/>
      <c r="Q21" s="261">
        <v>383492</v>
      </c>
      <c r="R21" s="260"/>
      <c r="S21" s="261">
        <v>383492</v>
      </c>
      <c r="T21" s="261"/>
      <c r="U21" s="261"/>
      <c r="V21" s="260"/>
      <c r="W21" s="260"/>
      <c r="X21" s="6"/>
    </row>
    <row r="22" spans="1:24" ht="15.75" customHeight="1">
      <c r="A22" s="252"/>
      <c r="B22" s="88"/>
      <c r="C22" s="364" t="s">
        <v>553</v>
      </c>
      <c r="D22" s="364"/>
      <c r="E22" s="364"/>
      <c r="F22" s="88"/>
      <c r="G22" s="88" t="s">
        <v>554</v>
      </c>
      <c r="H22" s="88"/>
      <c r="I22" s="88"/>
      <c r="J22" s="88"/>
      <c r="K22" s="88"/>
      <c r="L22" s="88"/>
      <c r="M22" s="253"/>
      <c r="N22" s="259"/>
      <c r="O22" s="260"/>
      <c r="P22" s="260"/>
      <c r="Q22" s="261">
        <v>116082</v>
      </c>
      <c r="R22" s="260"/>
      <c r="S22" s="261">
        <v>116082</v>
      </c>
      <c r="T22" s="261"/>
      <c r="U22" s="261"/>
      <c r="V22" s="260"/>
      <c r="W22" s="260"/>
      <c r="X22" s="6"/>
    </row>
    <row r="23" spans="1:24" ht="15.75" customHeight="1">
      <c r="A23" s="252"/>
      <c r="B23" s="88"/>
      <c r="C23" s="88"/>
      <c r="D23" s="88" t="s">
        <v>555</v>
      </c>
      <c r="E23" s="88"/>
      <c r="F23" s="88"/>
      <c r="G23" s="88"/>
      <c r="H23" s="88"/>
      <c r="I23" s="88" t="s">
        <v>556</v>
      </c>
      <c r="J23" s="88"/>
      <c r="K23" s="88"/>
      <c r="L23" s="88"/>
      <c r="M23" s="253"/>
      <c r="N23" s="259"/>
      <c r="O23" s="260"/>
      <c r="P23" s="260"/>
      <c r="Q23" s="261">
        <v>100082</v>
      </c>
      <c r="R23" s="260"/>
      <c r="S23" s="261">
        <v>100082</v>
      </c>
      <c r="T23" s="261"/>
      <c r="U23" s="261"/>
      <c r="V23" s="260"/>
      <c r="W23" s="260"/>
      <c r="X23" s="6"/>
    </row>
    <row r="24" spans="1:24" ht="15.75" customHeight="1">
      <c r="A24" s="252"/>
      <c r="B24" s="88"/>
      <c r="C24" s="88"/>
      <c r="D24" s="88" t="s">
        <v>557</v>
      </c>
      <c r="E24" s="88"/>
      <c r="F24" s="88"/>
      <c r="G24" s="88"/>
      <c r="H24" s="88"/>
      <c r="I24" s="88" t="s">
        <v>558</v>
      </c>
      <c r="J24" s="88"/>
      <c r="K24" s="88"/>
      <c r="L24" s="88"/>
      <c r="M24" s="253"/>
      <c r="N24" s="259"/>
      <c r="O24" s="260"/>
      <c r="P24" s="260"/>
      <c r="Q24" s="261">
        <v>16000</v>
      </c>
      <c r="R24" s="260"/>
      <c r="S24" s="261">
        <v>16000</v>
      </c>
      <c r="T24" s="261"/>
      <c r="U24" s="261"/>
      <c r="V24" s="260"/>
      <c r="W24" s="260"/>
      <c r="X24" s="6"/>
    </row>
    <row r="25" spans="1:24" ht="15.75" customHeight="1">
      <c r="A25" s="252"/>
      <c r="B25" s="88" t="s">
        <v>520</v>
      </c>
      <c r="C25" s="88"/>
      <c r="D25" s="88"/>
      <c r="E25" s="88"/>
      <c r="F25" s="88" t="s">
        <v>559</v>
      </c>
      <c r="G25" s="88"/>
      <c r="H25" s="88"/>
      <c r="I25" s="88"/>
      <c r="J25" s="88"/>
      <c r="K25" s="88"/>
      <c r="L25" s="88"/>
      <c r="M25" s="253"/>
      <c r="N25" s="259"/>
      <c r="O25" s="260">
        <v>1354000</v>
      </c>
      <c r="P25" s="260"/>
      <c r="Q25" s="261">
        <v>63465</v>
      </c>
      <c r="R25" s="260"/>
      <c r="S25" s="261">
        <v>-1290535</v>
      </c>
      <c r="T25" s="261"/>
      <c r="U25" s="261"/>
      <c r="V25" s="260"/>
      <c r="W25" s="260" t="s">
        <v>560</v>
      </c>
      <c r="X25" s="6"/>
    </row>
    <row r="26" spans="1:24" ht="15.75" customHeight="1">
      <c r="A26" s="252"/>
      <c r="B26" s="88"/>
      <c r="C26" s="88" t="s">
        <v>561</v>
      </c>
      <c r="D26" s="88"/>
      <c r="E26" s="88"/>
      <c r="F26" s="88"/>
      <c r="G26" s="88" t="s">
        <v>562</v>
      </c>
      <c r="H26" s="88"/>
      <c r="I26" s="88"/>
      <c r="J26" s="88"/>
      <c r="K26" s="88"/>
      <c r="L26" s="88"/>
      <c r="M26" s="253"/>
      <c r="N26" s="259"/>
      <c r="O26" s="260"/>
      <c r="P26" s="260"/>
      <c r="Q26" s="261">
        <v>22110</v>
      </c>
      <c r="R26" s="260"/>
      <c r="S26" s="261">
        <v>22110</v>
      </c>
      <c r="T26" s="261"/>
      <c r="U26" s="261"/>
      <c r="V26" s="260"/>
      <c r="W26" s="260"/>
      <c r="X26" s="6"/>
    </row>
    <row r="27" spans="1:24" ht="15.75" customHeight="1">
      <c r="A27" s="252"/>
      <c r="B27" s="88"/>
      <c r="C27" s="88"/>
      <c r="D27" s="88" t="s">
        <v>563</v>
      </c>
      <c r="E27" s="88"/>
      <c r="F27" s="88"/>
      <c r="G27" s="88"/>
      <c r="H27" s="88"/>
      <c r="I27" s="88" t="s">
        <v>564</v>
      </c>
      <c r="J27" s="88"/>
      <c r="K27" s="88"/>
      <c r="L27" s="88"/>
      <c r="M27" s="253"/>
      <c r="N27" s="259"/>
      <c r="O27" s="260"/>
      <c r="P27" s="260"/>
      <c r="Q27" s="261">
        <v>22110</v>
      </c>
      <c r="R27" s="260"/>
      <c r="S27" s="261">
        <v>22110</v>
      </c>
      <c r="T27" s="261"/>
      <c r="U27" s="261"/>
      <c r="V27" s="260"/>
      <c r="W27" s="260"/>
      <c r="X27" s="6"/>
    </row>
    <row r="28" spans="1:24" ht="15.75" customHeight="1">
      <c r="A28" s="252"/>
      <c r="B28" s="88"/>
      <c r="C28" s="88" t="s">
        <v>565</v>
      </c>
      <c r="D28" s="88"/>
      <c r="E28" s="88"/>
      <c r="F28" s="88"/>
      <c r="G28" s="88" t="s">
        <v>566</v>
      </c>
      <c r="H28" s="88"/>
      <c r="I28" s="88"/>
      <c r="J28" s="88"/>
      <c r="K28" s="88"/>
      <c r="L28" s="88"/>
      <c r="M28" s="253"/>
      <c r="N28" s="259"/>
      <c r="O28" s="261"/>
      <c r="P28" s="260"/>
      <c r="Q28" s="261">
        <v>41355</v>
      </c>
      <c r="R28" s="260"/>
      <c r="S28" s="261">
        <v>41355</v>
      </c>
      <c r="T28" s="261"/>
      <c r="U28" s="261"/>
      <c r="V28" s="260"/>
      <c r="W28" s="261"/>
      <c r="X28" s="6"/>
    </row>
    <row r="29" spans="1:24" ht="15.75" customHeight="1">
      <c r="A29" s="252"/>
      <c r="B29" s="88"/>
      <c r="C29" s="88"/>
      <c r="D29" s="88" t="s">
        <v>567</v>
      </c>
      <c r="E29" s="88"/>
      <c r="F29" s="88"/>
      <c r="G29" s="88"/>
      <c r="H29" s="88"/>
      <c r="I29" s="88" t="s">
        <v>568</v>
      </c>
      <c r="J29" s="88"/>
      <c r="K29" s="88"/>
      <c r="L29" s="88"/>
      <c r="M29" s="253"/>
      <c r="N29" s="259"/>
      <c r="O29" s="260"/>
      <c r="P29" s="260"/>
      <c r="Q29" s="261">
        <v>41355</v>
      </c>
      <c r="R29" s="260"/>
      <c r="S29" s="261">
        <v>41355</v>
      </c>
      <c r="T29" s="261"/>
      <c r="U29" s="261"/>
      <c r="V29" s="260"/>
      <c r="W29" s="260"/>
      <c r="X29" s="6"/>
    </row>
    <row r="30" spans="1:24" ht="15.75" customHeight="1">
      <c r="A30" s="252"/>
      <c r="B30" s="88" t="s">
        <v>528</v>
      </c>
      <c r="C30" s="88"/>
      <c r="D30" s="88"/>
      <c r="E30" s="88"/>
      <c r="F30" s="88" t="s">
        <v>569</v>
      </c>
      <c r="G30" s="88"/>
      <c r="H30" s="88"/>
      <c r="I30" s="88"/>
      <c r="J30" s="88"/>
      <c r="K30" s="88"/>
      <c r="L30" s="88"/>
      <c r="M30" s="253"/>
      <c r="N30" s="259"/>
      <c r="O30" s="260">
        <v>285000</v>
      </c>
      <c r="P30" s="260"/>
      <c r="Q30" s="261">
        <v>11260</v>
      </c>
      <c r="R30" s="260"/>
      <c r="S30" s="261">
        <v>-273740</v>
      </c>
      <c r="T30" s="261"/>
      <c r="U30" s="261"/>
      <c r="V30" s="260"/>
      <c r="W30" s="260" t="s">
        <v>570</v>
      </c>
      <c r="X30" s="6"/>
    </row>
    <row r="31" spans="1:24" ht="15.75" customHeight="1">
      <c r="A31" s="252"/>
      <c r="B31" s="88"/>
      <c r="C31" s="88" t="s">
        <v>571</v>
      </c>
      <c r="D31" s="88"/>
      <c r="E31" s="88"/>
      <c r="F31" s="88"/>
      <c r="G31" s="88" t="s">
        <v>572</v>
      </c>
      <c r="H31" s="88"/>
      <c r="I31" s="88"/>
      <c r="J31" s="88"/>
      <c r="K31" s="88"/>
      <c r="L31" s="88"/>
      <c r="M31" s="253"/>
      <c r="N31" s="259"/>
      <c r="O31" s="260"/>
      <c r="P31" s="260"/>
      <c r="Q31" s="261">
        <v>11260</v>
      </c>
      <c r="R31" s="260"/>
      <c r="S31" s="261">
        <v>11260</v>
      </c>
      <c r="T31" s="261"/>
      <c r="U31" s="261"/>
      <c r="V31" s="260"/>
      <c r="W31" s="260"/>
      <c r="X31" s="6"/>
    </row>
    <row r="32" spans="1:24" ht="15.75" customHeight="1">
      <c r="A32" s="252"/>
      <c r="B32" s="88"/>
      <c r="C32" s="88"/>
      <c r="D32" s="88" t="s">
        <v>573</v>
      </c>
      <c r="E32" s="88"/>
      <c r="F32" s="88"/>
      <c r="G32" s="88"/>
      <c r="H32" s="88"/>
      <c r="I32" s="88" t="s">
        <v>574</v>
      </c>
      <c r="J32" s="88"/>
      <c r="K32" s="88"/>
      <c r="L32" s="88"/>
      <c r="M32" s="253"/>
      <c r="N32" s="259"/>
      <c r="O32" s="260"/>
      <c r="P32" s="260"/>
      <c r="Q32" s="261">
        <v>11260</v>
      </c>
      <c r="R32" s="260"/>
      <c r="S32" s="261">
        <v>11260</v>
      </c>
      <c r="T32" s="261"/>
      <c r="U32" s="261"/>
      <c r="V32" s="260"/>
      <c r="W32" s="260"/>
      <c r="X32" s="6"/>
    </row>
    <row r="33" spans="1:24" ht="15.75" customHeight="1">
      <c r="A33" s="252"/>
      <c r="B33" s="88" t="s">
        <v>575</v>
      </c>
      <c r="C33" s="88"/>
      <c r="D33" s="88"/>
      <c r="E33" s="88"/>
      <c r="F33" s="88" t="s">
        <v>576</v>
      </c>
      <c r="G33" s="88"/>
      <c r="H33" s="88"/>
      <c r="I33" s="88"/>
      <c r="J33" s="88"/>
      <c r="K33" s="88"/>
      <c r="L33" s="88"/>
      <c r="M33" s="253"/>
      <c r="N33" s="259"/>
      <c r="O33" s="260">
        <v>416000</v>
      </c>
      <c r="P33" s="260"/>
      <c r="Q33" s="261"/>
      <c r="R33" s="260"/>
      <c r="S33" s="261">
        <v>-416000</v>
      </c>
      <c r="T33" s="261"/>
      <c r="U33" s="261"/>
      <c r="V33" s="260"/>
      <c r="W33" s="260" t="s">
        <v>577</v>
      </c>
      <c r="X33" s="6"/>
    </row>
    <row r="34" spans="1:24" ht="15.75" customHeight="1">
      <c r="A34" s="252"/>
      <c r="B34" s="88" t="s">
        <v>578</v>
      </c>
      <c r="C34" s="88"/>
      <c r="D34" s="88"/>
      <c r="E34" s="88"/>
      <c r="F34" s="88" t="s">
        <v>579</v>
      </c>
      <c r="G34" s="88"/>
      <c r="H34" s="88"/>
      <c r="I34" s="88"/>
      <c r="J34" s="88"/>
      <c r="K34" s="88"/>
      <c r="L34" s="88"/>
      <c r="M34" s="253"/>
      <c r="N34" s="259"/>
      <c r="O34" s="260">
        <v>37000</v>
      </c>
      <c r="P34" s="260"/>
      <c r="Q34" s="261"/>
      <c r="R34" s="260"/>
      <c r="S34" s="261">
        <v>-37000</v>
      </c>
      <c r="T34" s="261"/>
      <c r="U34" s="261"/>
      <c r="V34" s="260"/>
      <c r="W34" s="260" t="s">
        <v>577</v>
      </c>
      <c r="X34" s="6"/>
    </row>
    <row r="35" spans="1:24" ht="15.75" customHeight="1">
      <c r="A35" s="252"/>
      <c r="B35" s="88" t="s">
        <v>580</v>
      </c>
      <c r="C35" s="88"/>
      <c r="D35" s="88"/>
      <c r="E35" s="88"/>
      <c r="F35" s="88" t="s">
        <v>203</v>
      </c>
      <c r="G35" s="88"/>
      <c r="H35" s="88"/>
      <c r="I35" s="88"/>
      <c r="J35" s="88"/>
      <c r="K35" s="88"/>
      <c r="L35" s="88"/>
      <c r="M35" s="253"/>
      <c r="N35" s="259"/>
      <c r="O35" s="260">
        <v>38000</v>
      </c>
      <c r="P35" s="260"/>
      <c r="Q35" s="261"/>
      <c r="R35" s="260"/>
      <c r="S35" s="261">
        <v>-38000</v>
      </c>
      <c r="T35" s="261"/>
      <c r="U35" s="261"/>
      <c r="V35" s="260"/>
      <c r="W35" s="260" t="s">
        <v>577</v>
      </c>
      <c r="X35" s="6"/>
    </row>
    <row r="36" spans="1:24" ht="15.6" customHeight="1">
      <c r="A36" s="254"/>
      <c r="B36" s="89"/>
      <c r="C36" s="89"/>
      <c r="D36" s="89" t="s">
        <v>581</v>
      </c>
      <c r="E36" s="89"/>
      <c r="F36" s="89"/>
      <c r="G36" s="89"/>
      <c r="H36" s="89"/>
      <c r="I36" s="89"/>
      <c r="J36" s="89"/>
      <c r="K36" s="89"/>
      <c r="L36" s="89"/>
      <c r="M36" s="255"/>
      <c r="N36" s="262"/>
      <c r="O36" s="263">
        <v>35218000</v>
      </c>
      <c r="P36" s="263"/>
      <c r="Q36" s="264">
        <v>6951569</v>
      </c>
      <c r="R36" s="263"/>
      <c r="S36" s="264">
        <v>-28266431</v>
      </c>
      <c r="T36" s="264"/>
      <c r="U36" s="264"/>
      <c r="V36" s="263"/>
      <c r="W36" s="263" t="s">
        <v>582</v>
      </c>
      <c r="X36" s="6"/>
    </row>
    <row r="37" spans="1:24" ht="15.75" customHeight="1">
      <c r="A37" s="250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251"/>
      <c r="N37" s="256"/>
      <c r="O37" s="258"/>
      <c r="P37" s="258"/>
      <c r="Q37" s="257"/>
      <c r="R37" s="258"/>
      <c r="S37" s="257"/>
      <c r="T37" s="257"/>
      <c r="U37" s="257"/>
      <c r="V37" s="258"/>
      <c r="W37" s="258"/>
      <c r="X37" s="6"/>
    </row>
    <row r="38" spans="1:24" ht="15.75" customHeight="1">
      <c r="A38" s="252"/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253"/>
      <c r="N38" s="259"/>
      <c r="O38" s="260"/>
      <c r="P38" s="260"/>
      <c r="Q38" s="261"/>
      <c r="R38" s="260"/>
      <c r="S38" s="261"/>
      <c r="T38" s="261"/>
      <c r="U38" s="261"/>
      <c r="V38" s="260"/>
      <c r="W38" s="260"/>
      <c r="X38" s="6"/>
    </row>
    <row r="39" spans="1:24" ht="15.75" customHeight="1">
      <c r="A39" s="252"/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253"/>
      <c r="N39" s="259"/>
      <c r="O39" s="260"/>
      <c r="P39" s="260"/>
      <c r="Q39" s="261"/>
      <c r="R39" s="260"/>
      <c r="S39" s="261"/>
      <c r="T39" s="261"/>
      <c r="U39" s="261"/>
      <c r="V39" s="260"/>
      <c r="W39" s="260"/>
      <c r="X39" s="6"/>
    </row>
    <row r="40" spans="1:24" ht="15.75" customHeight="1">
      <c r="A40" s="252"/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253"/>
      <c r="N40" s="259"/>
      <c r="O40" s="260"/>
      <c r="P40" s="260"/>
      <c r="Q40" s="261"/>
      <c r="R40" s="260"/>
      <c r="S40" s="261"/>
      <c r="T40" s="261"/>
      <c r="U40" s="261"/>
      <c r="V40" s="260"/>
      <c r="W40" s="260"/>
      <c r="X40" s="6"/>
    </row>
    <row r="41" spans="1:24" ht="15.75" customHeight="1">
      <c r="A41" s="252"/>
      <c r="B41" s="88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253"/>
      <c r="N41" s="259"/>
      <c r="O41" s="260"/>
      <c r="P41" s="260"/>
      <c r="Q41" s="261"/>
      <c r="R41" s="260"/>
      <c r="S41" s="261"/>
      <c r="T41" s="261"/>
      <c r="U41" s="261"/>
      <c r="V41" s="260"/>
      <c r="W41" s="260"/>
      <c r="X41" s="6"/>
    </row>
    <row r="42" spans="1:24" ht="15.75" customHeight="1">
      <c r="A42" s="252"/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253"/>
      <c r="N42" s="259"/>
      <c r="O42" s="260"/>
      <c r="P42" s="260"/>
      <c r="Q42" s="261"/>
      <c r="R42" s="260"/>
      <c r="S42" s="261"/>
      <c r="T42" s="261"/>
      <c r="U42" s="261"/>
      <c r="V42" s="260"/>
      <c r="W42" s="260"/>
      <c r="X42" s="6"/>
    </row>
    <row r="43" spans="1:24" ht="15.75" customHeight="1">
      <c r="A43" s="252"/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253"/>
      <c r="N43" s="259"/>
      <c r="O43" s="260"/>
      <c r="P43" s="260"/>
      <c r="Q43" s="261"/>
      <c r="R43" s="260"/>
      <c r="S43" s="261"/>
      <c r="T43" s="261"/>
      <c r="U43" s="261"/>
      <c r="V43" s="260"/>
      <c r="W43" s="260"/>
      <c r="X43" s="6"/>
    </row>
    <row r="44" spans="1:24" ht="15.75" customHeight="1">
      <c r="A44" s="252"/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253"/>
      <c r="N44" s="259"/>
      <c r="O44" s="260"/>
      <c r="P44" s="260"/>
      <c r="Q44" s="261"/>
      <c r="R44" s="260"/>
      <c r="S44" s="261"/>
      <c r="T44" s="261"/>
      <c r="U44" s="261"/>
      <c r="V44" s="260"/>
      <c r="W44" s="260"/>
      <c r="X44" s="6"/>
    </row>
    <row r="45" spans="1:24" ht="15.75" customHeight="1">
      <c r="A45" s="252"/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253"/>
      <c r="N45" s="259"/>
      <c r="O45" s="260"/>
      <c r="P45" s="260"/>
      <c r="Q45" s="261"/>
      <c r="R45" s="260"/>
      <c r="S45" s="261"/>
      <c r="T45" s="261"/>
      <c r="U45" s="261"/>
      <c r="V45" s="260"/>
      <c r="W45" s="260"/>
      <c r="X45" s="6"/>
    </row>
    <row r="46" spans="1:24" ht="15.75" customHeight="1">
      <c r="A46" s="252"/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253"/>
      <c r="N46" s="259"/>
      <c r="O46" s="260"/>
      <c r="P46" s="260"/>
      <c r="Q46" s="261"/>
      <c r="R46" s="260"/>
      <c r="S46" s="261"/>
      <c r="T46" s="261"/>
      <c r="U46" s="261"/>
      <c r="V46" s="260"/>
      <c r="W46" s="260"/>
      <c r="X46" s="6"/>
    </row>
    <row r="47" spans="1:24" ht="15.75" customHeight="1">
      <c r="A47" s="252"/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253"/>
      <c r="N47" s="259"/>
      <c r="O47" s="260"/>
      <c r="P47" s="260"/>
      <c r="Q47" s="261"/>
      <c r="R47" s="260"/>
      <c r="S47" s="261"/>
      <c r="T47" s="261"/>
      <c r="U47" s="261"/>
      <c r="V47" s="260"/>
      <c r="W47" s="260"/>
      <c r="X47" s="6"/>
    </row>
    <row r="48" spans="1:24" ht="15.75" customHeight="1">
      <c r="A48" s="252"/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253"/>
      <c r="N48" s="259"/>
      <c r="O48" s="260"/>
      <c r="P48" s="260"/>
      <c r="Q48" s="261"/>
      <c r="R48" s="260"/>
      <c r="S48" s="261"/>
      <c r="T48" s="261"/>
      <c r="U48" s="261"/>
      <c r="V48" s="260"/>
      <c r="W48" s="260"/>
      <c r="X48" s="6"/>
    </row>
    <row r="49" spans="1:24" ht="15.75" customHeight="1">
      <c r="A49" s="252"/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253"/>
      <c r="N49" s="259"/>
      <c r="O49" s="260"/>
      <c r="P49" s="260"/>
      <c r="Q49" s="261"/>
      <c r="R49" s="260"/>
      <c r="S49" s="261"/>
      <c r="T49" s="261"/>
      <c r="U49" s="261"/>
      <c r="V49" s="260"/>
      <c r="W49" s="260"/>
      <c r="X49" s="6"/>
    </row>
    <row r="50" spans="1:24" ht="15.75" customHeight="1">
      <c r="A50" s="252"/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253"/>
      <c r="N50" s="259"/>
      <c r="O50" s="260"/>
      <c r="P50" s="260"/>
      <c r="Q50" s="261"/>
      <c r="R50" s="260"/>
      <c r="S50" s="261"/>
      <c r="T50" s="261"/>
      <c r="U50" s="261"/>
      <c r="V50" s="260"/>
      <c r="W50" s="260"/>
      <c r="X50" s="6"/>
    </row>
    <row r="51" spans="1:24" ht="15.75" customHeight="1">
      <c r="A51" s="252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253"/>
      <c r="N51" s="259"/>
      <c r="O51" s="260"/>
      <c r="P51" s="260"/>
      <c r="Q51" s="261"/>
      <c r="R51" s="260"/>
      <c r="S51" s="261"/>
      <c r="T51" s="261"/>
      <c r="U51" s="261"/>
      <c r="V51" s="260"/>
      <c r="W51" s="260"/>
      <c r="X51" s="6"/>
    </row>
    <row r="52" spans="1:24" ht="15.75" customHeight="1">
      <c r="A52" s="252"/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253"/>
      <c r="N52" s="259"/>
      <c r="O52" s="260"/>
      <c r="P52" s="260"/>
      <c r="Q52" s="261"/>
      <c r="R52" s="260"/>
      <c r="S52" s="261"/>
      <c r="T52" s="261"/>
      <c r="U52" s="261"/>
      <c r="V52" s="260"/>
      <c r="W52" s="260"/>
      <c r="X52" s="6"/>
    </row>
    <row r="53" spans="1:24" ht="15.75" customHeight="1">
      <c r="A53" s="252"/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253"/>
      <c r="N53" s="259"/>
      <c r="O53" s="261"/>
      <c r="P53" s="260"/>
      <c r="Q53" s="261"/>
      <c r="R53" s="260"/>
      <c r="S53" s="261"/>
      <c r="T53" s="261"/>
      <c r="U53" s="261"/>
      <c r="V53" s="260"/>
      <c r="W53" s="261"/>
      <c r="X53" s="6"/>
    </row>
    <row r="54" spans="1:24" ht="15.75" customHeight="1">
      <c r="A54" s="252"/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253"/>
      <c r="N54" s="259"/>
      <c r="O54" s="260"/>
      <c r="P54" s="260"/>
      <c r="Q54" s="261"/>
      <c r="R54" s="260"/>
      <c r="S54" s="261"/>
      <c r="T54" s="261"/>
      <c r="U54" s="261"/>
      <c r="V54" s="260"/>
      <c r="W54" s="260"/>
      <c r="X54" s="6"/>
    </row>
    <row r="55" spans="1:24" ht="15.75" customHeight="1">
      <c r="A55" s="252"/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253"/>
      <c r="N55" s="259"/>
      <c r="O55" s="260"/>
      <c r="P55" s="260"/>
      <c r="Q55" s="261"/>
      <c r="R55" s="260"/>
      <c r="S55" s="261"/>
      <c r="T55" s="261"/>
      <c r="U55" s="261"/>
      <c r="V55" s="260"/>
      <c r="W55" s="260"/>
      <c r="X55" s="6"/>
    </row>
    <row r="56" spans="1:24" ht="15.75" customHeight="1">
      <c r="A56" s="252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253"/>
      <c r="N56" s="259"/>
      <c r="O56" s="260"/>
      <c r="P56" s="260"/>
      <c r="Q56" s="261"/>
      <c r="R56" s="260"/>
      <c r="S56" s="261"/>
      <c r="T56" s="261"/>
      <c r="U56" s="261"/>
      <c r="V56" s="260"/>
      <c r="W56" s="260"/>
      <c r="X56" s="6"/>
    </row>
    <row r="57" spans="1:24" ht="15.75" customHeight="1">
      <c r="A57" s="252"/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253"/>
      <c r="N57" s="259"/>
      <c r="O57" s="260"/>
      <c r="P57" s="260"/>
      <c r="Q57" s="261"/>
      <c r="R57" s="260"/>
      <c r="S57" s="261"/>
      <c r="T57" s="261"/>
      <c r="U57" s="261"/>
      <c r="V57" s="260"/>
      <c r="W57" s="260"/>
      <c r="X57" s="6"/>
    </row>
    <row r="58" spans="1:24" ht="15.75" customHeight="1">
      <c r="A58" s="252"/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253"/>
      <c r="N58" s="259"/>
      <c r="O58" s="260"/>
      <c r="P58" s="260"/>
      <c r="Q58" s="261"/>
      <c r="R58" s="260"/>
      <c r="S58" s="261"/>
      <c r="T58" s="261"/>
      <c r="U58" s="261"/>
      <c r="V58" s="260"/>
      <c r="W58" s="260"/>
      <c r="X58" s="6"/>
    </row>
    <row r="59" spans="1:24" ht="15.75" customHeight="1">
      <c r="A59" s="252"/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253"/>
      <c r="N59" s="259"/>
      <c r="O59" s="260"/>
      <c r="P59" s="260"/>
      <c r="Q59" s="261"/>
      <c r="R59" s="260"/>
      <c r="S59" s="261"/>
      <c r="T59" s="261"/>
      <c r="U59" s="261"/>
      <c r="V59" s="260"/>
      <c r="W59" s="260"/>
      <c r="X59" s="6"/>
    </row>
    <row r="60" spans="1:24" ht="15.75" customHeight="1">
      <c r="A60" s="252"/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253"/>
      <c r="N60" s="259"/>
      <c r="O60" s="260"/>
      <c r="P60" s="260"/>
      <c r="Q60" s="261"/>
      <c r="R60" s="260"/>
      <c r="S60" s="261"/>
      <c r="T60" s="261"/>
      <c r="U60" s="261"/>
      <c r="V60" s="260"/>
      <c r="W60" s="260"/>
      <c r="X60" s="6"/>
    </row>
    <row r="61" spans="1:24" ht="15.75" customHeight="1">
      <c r="A61" s="254"/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255"/>
      <c r="N61" s="262"/>
      <c r="O61" s="263"/>
      <c r="P61" s="263"/>
      <c r="Q61" s="264"/>
      <c r="R61" s="263"/>
      <c r="S61" s="264"/>
      <c r="T61" s="264"/>
      <c r="U61" s="264"/>
      <c r="V61" s="263"/>
      <c r="W61" s="263"/>
      <c r="X61" s="6"/>
    </row>
    <row r="62" spans="1:24" ht="15.75" customHeight="1">
      <c r="A62" s="250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251"/>
      <c r="N62" s="256"/>
      <c r="O62" s="257"/>
      <c r="P62" s="258"/>
      <c r="Q62" s="258"/>
      <c r="R62" s="258"/>
      <c r="S62" s="257"/>
      <c r="T62" s="257"/>
      <c r="U62" s="257"/>
      <c r="V62" s="258"/>
      <c r="W62" s="257"/>
      <c r="X62" s="6"/>
    </row>
    <row r="63" spans="1:24" ht="15.75" customHeight="1">
      <c r="A63" s="252"/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253"/>
      <c r="N63" s="259"/>
      <c r="O63" s="261"/>
      <c r="P63" s="260"/>
      <c r="Q63" s="261"/>
      <c r="R63" s="260"/>
      <c r="S63" s="261"/>
      <c r="T63" s="261"/>
      <c r="U63" s="261"/>
      <c r="V63" s="260"/>
      <c r="W63" s="261"/>
      <c r="X63" s="6"/>
    </row>
    <row r="64" spans="1:24" ht="15.75" customHeight="1">
      <c r="A64" s="252"/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253"/>
      <c r="N64" s="259"/>
      <c r="O64" s="261"/>
      <c r="P64" s="260"/>
      <c r="Q64" s="261"/>
      <c r="R64" s="260"/>
      <c r="S64" s="261"/>
      <c r="T64" s="261"/>
      <c r="U64" s="261"/>
      <c r="V64" s="260"/>
      <c r="W64" s="261"/>
      <c r="X64" s="6"/>
    </row>
    <row r="65" spans="1:24" ht="15.75" customHeight="1">
      <c r="A65" s="252"/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253"/>
      <c r="N65" s="259"/>
      <c r="O65" s="261"/>
      <c r="P65" s="260"/>
      <c r="Q65" s="261"/>
      <c r="R65" s="260"/>
      <c r="S65" s="261"/>
      <c r="T65" s="261"/>
      <c r="U65" s="261"/>
      <c r="V65" s="260"/>
      <c r="W65" s="261"/>
      <c r="X65" s="6"/>
    </row>
    <row r="66" spans="1:24" ht="15.75" customHeight="1">
      <c r="A66" s="252"/>
      <c r="B66" s="88"/>
      <c r="C66" s="88"/>
      <c r="D66" s="88"/>
      <c r="E66" s="88"/>
      <c r="F66" s="88"/>
      <c r="G66" s="88"/>
      <c r="H66" s="88"/>
      <c r="I66" s="88"/>
      <c r="J66" s="88"/>
      <c r="K66" s="88"/>
      <c r="L66" s="88"/>
      <c r="M66" s="253"/>
      <c r="N66" s="259"/>
      <c r="O66" s="261"/>
      <c r="P66" s="260"/>
      <c r="Q66" s="261"/>
      <c r="R66" s="260"/>
      <c r="S66" s="261"/>
      <c r="T66" s="261"/>
      <c r="U66" s="261"/>
      <c r="V66" s="260"/>
      <c r="W66" s="261"/>
      <c r="X66" s="6"/>
    </row>
    <row r="67" spans="1:24" ht="15.75" customHeight="1">
      <c r="A67" s="252"/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253"/>
      <c r="N67" s="259"/>
      <c r="O67" s="261"/>
      <c r="P67" s="260"/>
      <c r="Q67" s="261"/>
      <c r="R67" s="260"/>
      <c r="S67" s="261"/>
      <c r="T67" s="261"/>
      <c r="U67" s="261"/>
      <c r="V67" s="260"/>
      <c r="W67" s="261"/>
      <c r="X67" s="6"/>
    </row>
    <row r="68" spans="1:24" ht="15.75" customHeight="1">
      <c r="A68" s="252"/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253"/>
      <c r="N68" s="259"/>
      <c r="O68" s="260"/>
      <c r="P68" s="260"/>
      <c r="Q68" s="261"/>
      <c r="R68" s="260"/>
      <c r="S68" s="261"/>
      <c r="T68" s="261"/>
      <c r="U68" s="261"/>
      <c r="V68" s="260"/>
      <c r="W68" s="260"/>
      <c r="X68" s="6"/>
    </row>
    <row r="69" spans="1:24" ht="15.75" customHeight="1">
      <c r="A69" s="252"/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253"/>
      <c r="N69" s="259"/>
      <c r="O69" s="260"/>
      <c r="P69" s="260"/>
      <c r="Q69" s="261"/>
      <c r="R69" s="260"/>
      <c r="S69" s="261"/>
      <c r="T69" s="261"/>
      <c r="U69" s="261"/>
      <c r="V69" s="260"/>
      <c r="W69" s="260"/>
      <c r="X69" s="6"/>
    </row>
    <row r="70" spans="1:24" ht="15.75" customHeight="1">
      <c r="A70" s="252"/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253"/>
      <c r="N70" s="259"/>
      <c r="O70" s="260"/>
      <c r="P70" s="260"/>
      <c r="Q70" s="261"/>
      <c r="R70" s="260"/>
      <c r="S70" s="261"/>
      <c r="T70" s="261"/>
      <c r="U70" s="261"/>
      <c r="V70" s="260"/>
      <c r="W70" s="260"/>
      <c r="X70" s="6"/>
    </row>
    <row r="71" spans="1:24" ht="15.75" customHeight="1">
      <c r="A71" s="252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253"/>
      <c r="N71" s="259"/>
      <c r="O71" s="260"/>
      <c r="P71" s="260"/>
      <c r="Q71" s="261"/>
      <c r="R71" s="260"/>
      <c r="S71" s="261"/>
      <c r="T71" s="261"/>
      <c r="U71" s="261"/>
      <c r="V71" s="260"/>
      <c r="W71" s="260"/>
      <c r="X71" s="6"/>
    </row>
    <row r="72" spans="1:24" ht="15.75" customHeight="1">
      <c r="A72" s="252"/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253"/>
      <c r="N72" s="259"/>
      <c r="O72" s="260"/>
      <c r="P72" s="260"/>
      <c r="Q72" s="261"/>
      <c r="R72" s="260"/>
      <c r="S72" s="261"/>
      <c r="T72" s="261"/>
      <c r="U72" s="261"/>
      <c r="V72" s="260"/>
      <c r="W72" s="260"/>
      <c r="X72" s="6"/>
    </row>
    <row r="73" spans="1:24" ht="15.75" customHeight="1">
      <c r="A73" s="252"/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253"/>
      <c r="N73" s="259"/>
      <c r="O73" s="260"/>
      <c r="P73" s="260"/>
      <c r="Q73" s="261"/>
      <c r="R73" s="260"/>
      <c r="S73" s="261"/>
      <c r="T73" s="261"/>
      <c r="U73" s="261"/>
      <c r="V73" s="260"/>
      <c r="W73" s="260"/>
      <c r="X73" s="6"/>
    </row>
    <row r="74" spans="1:24" ht="15.75" customHeight="1">
      <c r="A74" s="252"/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253"/>
      <c r="N74" s="259"/>
      <c r="O74" s="260"/>
      <c r="P74" s="260"/>
      <c r="Q74" s="261"/>
      <c r="R74" s="260"/>
      <c r="S74" s="261"/>
      <c r="T74" s="261"/>
      <c r="U74" s="261"/>
      <c r="V74" s="260"/>
      <c r="W74" s="260"/>
      <c r="X74" s="6"/>
    </row>
    <row r="75" spans="1:24" ht="15.75" customHeight="1">
      <c r="A75" s="252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253"/>
      <c r="N75" s="259"/>
      <c r="O75" s="260"/>
      <c r="P75" s="260"/>
      <c r="Q75" s="261"/>
      <c r="R75" s="260"/>
      <c r="S75" s="261"/>
      <c r="T75" s="261"/>
      <c r="U75" s="261"/>
      <c r="V75" s="260"/>
      <c r="W75" s="260"/>
      <c r="X75" s="6"/>
    </row>
    <row r="76" spans="1:24" ht="15.75" customHeight="1">
      <c r="A76" s="252"/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253"/>
      <c r="N76" s="259"/>
      <c r="O76" s="260"/>
      <c r="P76" s="260"/>
      <c r="Q76" s="261"/>
      <c r="R76" s="260"/>
      <c r="S76" s="261"/>
      <c r="T76" s="261"/>
      <c r="U76" s="261"/>
      <c r="V76" s="260"/>
      <c r="W76" s="260"/>
      <c r="X76" s="6"/>
    </row>
    <row r="77" spans="1:24" ht="15.75" customHeight="1">
      <c r="A77" s="252"/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253"/>
      <c r="N77" s="259"/>
      <c r="O77" s="260"/>
      <c r="P77" s="260"/>
      <c r="Q77" s="261"/>
      <c r="R77" s="260"/>
      <c r="S77" s="261"/>
      <c r="T77" s="261"/>
      <c r="U77" s="261"/>
      <c r="V77" s="260"/>
      <c r="W77" s="260"/>
      <c r="X77" s="6"/>
    </row>
    <row r="78" spans="1:24" ht="15.75" customHeight="1">
      <c r="A78" s="252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253"/>
      <c r="N78" s="259"/>
      <c r="O78" s="260"/>
      <c r="P78" s="260"/>
      <c r="Q78" s="261"/>
      <c r="R78" s="260"/>
      <c r="S78" s="261"/>
      <c r="T78" s="261"/>
      <c r="U78" s="261"/>
      <c r="V78" s="260"/>
      <c r="W78" s="260"/>
      <c r="X78" s="6"/>
    </row>
    <row r="79" spans="1:24" ht="15.75" customHeight="1">
      <c r="A79" s="252"/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253"/>
      <c r="N79" s="259"/>
      <c r="O79" s="260"/>
      <c r="P79" s="260"/>
      <c r="Q79" s="261"/>
      <c r="R79" s="260"/>
      <c r="S79" s="261"/>
      <c r="T79" s="261"/>
      <c r="U79" s="261"/>
      <c r="V79" s="260"/>
      <c r="W79" s="260"/>
      <c r="X79" s="6"/>
    </row>
    <row r="80" spans="1:24" ht="15.75" customHeight="1">
      <c r="A80" s="252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253"/>
      <c r="N80" s="259"/>
      <c r="O80" s="260"/>
      <c r="P80" s="260"/>
      <c r="Q80" s="261"/>
      <c r="R80" s="260"/>
      <c r="S80" s="261"/>
      <c r="T80" s="261"/>
      <c r="U80" s="261"/>
      <c r="V80" s="260"/>
      <c r="W80" s="260"/>
      <c r="X80" s="6"/>
    </row>
    <row r="81" spans="1:24" ht="15.75" customHeight="1">
      <c r="A81" s="252"/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253"/>
      <c r="N81" s="259"/>
      <c r="O81" s="260"/>
      <c r="P81" s="260"/>
      <c r="Q81" s="261"/>
      <c r="R81" s="260"/>
      <c r="S81" s="261"/>
      <c r="T81" s="261"/>
      <c r="U81" s="261"/>
      <c r="V81" s="260"/>
      <c r="W81" s="260"/>
      <c r="X81" s="6"/>
    </row>
    <row r="82" spans="1:24" ht="15.75" customHeight="1">
      <c r="A82" s="252"/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253"/>
      <c r="N82" s="259"/>
      <c r="O82" s="260"/>
      <c r="P82" s="260"/>
      <c r="Q82" s="261"/>
      <c r="R82" s="260"/>
      <c r="S82" s="261"/>
      <c r="T82" s="261"/>
      <c r="U82" s="261"/>
      <c r="V82" s="260"/>
      <c r="W82" s="260"/>
      <c r="X82" s="6"/>
    </row>
    <row r="83" spans="1:24" ht="15.75" customHeight="1">
      <c r="A83" s="252"/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253"/>
      <c r="N83" s="259"/>
      <c r="O83" s="261"/>
      <c r="P83" s="260"/>
      <c r="Q83" s="261"/>
      <c r="R83" s="260"/>
      <c r="S83" s="261"/>
      <c r="T83" s="261"/>
      <c r="U83" s="261"/>
      <c r="V83" s="260"/>
      <c r="W83" s="261"/>
      <c r="X83" s="6"/>
    </row>
    <row r="84" spans="1:24" ht="15.75" customHeight="1">
      <c r="A84" s="252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253"/>
      <c r="N84" s="259"/>
      <c r="O84" s="260"/>
      <c r="P84" s="260"/>
      <c r="Q84" s="261"/>
      <c r="R84" s="260"/>
      <c r="S84" s="261"/>
      <c r="T84" s="261"/>
      <c r="U84" s="261"/>
      <c r="V84" s="260"/>
      <c r="W84" s="260"/>
      <c r="X84" s="6"/>
    </row>
    <row r="85" spans="1:24" ht="15.75" customHeight="1">
      <c r="A85" s="252"/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253"/>
      <c r="N85" s="259"/>
      <c r="O85" s="260"/>
      <c r="P85" s="260"/>
      <c r="Q85" s="261"/>
      <c r="R85" s="260"/>
      <c r="S85" s="261"/>
      <c r="T85" s="261"/>
      <c r="U85" s="261"/>
      <c r="V85" s="260"/>
      <c r="W85" s="260"/>
      <c r="X85" s="6"/>
    </row>
    <row r="86" spans="1:24" ht="15.75" customHeight="1">
      <c r="A86" s="90"/>
      <c r="B86" s="89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255"/>
      <c r="N86" s="262"/>
      <c r="O86" s="264"/>
      <c r="P86" s="263"/>
      <c r="Q86" s="264"/>
      <c r="R86" s="263"/>
      <c r="S86" s="264"/>
      <c r="T86" s="264"/>
      <c r="U86" s="264"/>
      <c r="V86" s="263"/>
      <c r="W86" s="264"/>
      <c r="X86" s="6"/>
    </row>
    <row r="87" spans="1:24" ht="26.25" customHeight="1">
      <c r="B87" s="237"/>
      <c r="C87" s="237"/>
      <c r="D87" s="237"/>
      <c r="E87" s="237"/>
      <c r="F87" s="237"/>
      <c r="G87" s="237"/>
      <c r="H87" s="237"/>
      <c r="I87" s="237"/>
      <c r="J87" s="237"/>
      <c r="K87" s="237"/>
      <c r="L87" s="237"/>
      <c r="M87" s="237"/>
      <c r="N87" s="237"/>
      <c r="O87" s="237"/>
      <c r="P87" s="237"/>
      <c r="Q87" s="237"/>
      <c r="R87" s="237"/>
      <c r="S87" s="237"/>
      <c r="T87" s="237"/>
      <c r="U87" s="237"/>
      <c r="V87" s="237"/>
      <c r="W87" s="237"/>
    </row>
    <row r="88" spans="1:24" ht="30" customHeight="1">
      <c r="B88" s="237"/>
      <c r="C88" s="237"/>
      <c r="D88" s="237"/>
      <c r="E88" s="237"/>
      <c r="F88" s="237"/>
      <c r="G88" s="237"/>
      <c r="H88" s="237"/>
      <c r="I88" s="237"/>
      <c r="J88" s="237"/>
      <c r="K88" s="237"/>
      <c r="L88" s="237"/>
      <c r="M88" s="237"/>
      <c r="N88" s="237"/>
      <c r="O88" s="237"/>
      <c r="P88" s="237"/>
      <c r="Q88" s="237"/>
      <c r="R88" s="237"/>
      <c r="S88" s="237"/>
      <c r="T88" s="237"/>
      <c r="U88" s="237"/>
      <c r="V88" s="237"/>
      <c r="W88" s="237"/>
    </row>
    <row r="89" spans="1:24" ht="12.75" customHeight="1">
      <c r="B89" s="237"/>
      <c r="C89" s="237"/>
      <c r="D89" s="237"/>
      <c r="E89" s="237"/>
      <c r="F89" s="237"/>
      <c r="G89" s="237"/>
      <c r="H89" s="237"/>
      <c r="I89" s="237"/>
      <c r="J89" s="237"/>
      <c r="K89" s="237"/>
      <c r="L89" s="237"/>
      <c r="M89" s="237"/>
      <c r="N89" s="237"/>
      <c r="O89" s="237"/>
      <c r="P89" s="237"/>
      <c r="Q89" s="237"/>
      <c r="R89" s="237"/>
      <c r="S89" s="237"/>
      <c r="T89" s="237"/>
      <c r="U89" s="237"/>
      <c r="V89" s="237"/>
      <c r="W89" s="237"/>
    </row>
    <row r="90" spans="1:24" ht="12.75" customHeight="1">
      <c r="B90" s="237"/>
      <c r="C90" s="237"/>
      <c r="D90" s="237"/>
      <c r="E90" s="237"/>
      <c r="F90" s="237"/>
      <c r="G90" s="237"/>
      <c r="H90" s="237"/>
      <c r="I90" s="237"/>
      <c r="J90" s="237"/>
      <c r="K90" s="237"/>
      <c r="L90" s="237"/>
      <c r="M90" s="237"/>
      <c r="N90" s="237"/>
      <c r="O90" s="237"/>
      <c r="P90" s="237"/>
      <c r="Q90" s="237"/>
      <c r="R90" s="237"/>
      <c r="S90" s="237"/>
      <c r="T90" s="237"/>
      <c r="U90" s="237"/>
      <c r="V90" s="237"/>
      <c r="W90" s="237"/>
    </row>
    <row r="91" spans="1:24" ht="12.75" customHeight="1">
      <c r="B91" s="237"/>
      <c r="C91" s="237"/>
      <c r="D91" s="237"/>
      <c r="E91" s="237"/>
      <c r="F91" s="237"/>
      <c r="G91" s="237"/>
      <c r="H91" s="237"/>
      <c r="I91" s="237"/>
      <c r="J91" s="237"/>
      <c r="K91" s="237"/>
      <c r="L91" s="237"/>
      <c r="M91" s="237"/>
      <c r="N91" s="237"/>
      <c r="O91" s="237"/>
      <c r="P91" s="237"/>
      <c r="Q91" s="237"/>
      <c r="R91" s="237"/>
      <c r="S91" s="237"/>
      <c r="T91" s="237"/>
      <c r="U91" s="237"/>
      <c r="V91" s="237"/>
      <c r="W91" s="237"/>
    </row>
    <row r="92" spans="1:24" ht="12.75" customHeight="1">
      <c r="B92" s="237"/>
      <c r="C92" s="237"/>
      <c r="D92" s="237"/>
      <c r="E92" s="237"/>
      <c r="F92" s="237"/>
      <c r="G92" s="237"/>
      <c r="H92" s="237"/>
      <c r="I92" s="237"/>
      <c r="J92" s="237"/>
      <c r="K92" s="237"/>
      <c r="L92" s="237"/>
      <c r="M92" s="237"/>
      <c r="N92" s="237"/>
      <c r="O92" s="237"/>
      <c r="P92" s="237"/>
      <c r="Q92" s="237"/>
      <c r="R92" s="237"/>
      <c r="S92" s="237"/>
      <c r="T92" s="237"/>
      <c r="U92" s="237"/>
      <c r="V92" s="237"/>
      <c r="W92" s="237"/>
    </row>
    <row r="93" spans="1:24" ht="12.75" customHeight="1">
      <c r="B93" s="237"/>
      <c r="C93" s="237"/>
      <c r="D93" s="237"/>
      <c r="E93" s="237"/>
      <c r="F93" s="237"/>
      <c r="G93" s="237"/>
      <c r="H93" s="237"/>
      <c r="I93" s="237"/>
      <c r="J93" s="237"/>
      <c r="K93" s="237"/>
      <c r="L93" s="237"/>
      <c r="M93" s="237"/>
      <c r="N93" s="237"/>
      <c r="O93" s="237"/>
      <c r="P93" s="237"/>
      <c r="Q93" s="237"/>
      <c r="R93" s="237"/>
      <c r="S93" s="237"/>
      <c r="T93" s="237"/>
      <c r="U93" s="237"/>
      <c r="V93" s="237"/>
      <c r="W93" s="237"/>
    </row>
    <row r="94" spans="1:24" ht="12.75" customHeight="1">
      <c r="B94" s="237"/>
      <c r="C94" s="237"/>
      <c r="D94" s="237"/>
      <c r="E94" s="237"/>
      <c r="F94" s="237"/>
      <c r="G94" s="237"/>
      <c r="H94" s="237"/>
      <c r="I94" s="237"/>
      <c r="J94" s="237"/>
      <c r="K94" s="237"/>
      <c r="L94" s="237"/>
      <c r="M94" s="237"/>
      <c r="N94" s="237"/>
      <c r="O94" s="237"/>
      <c r="P94" s="237"/>
      <c r="Q94" s="237"/>
      <c r="R94" s="237"/>
      <c r="S94" s="237"/>
      <c r="T94" s="237"/>
      <c r="U94" s="237"/>
      <c r="V94" s="237"/>
      <c r="W94" s="237"/>
    </row>
    <row r="95" spans="1:24" ht="12.75" customHeight="1">
      <c r="B95" s="237"/>
      <c r="C95" s="237"/>
      <c r="D95" s="237"/>
      <c r="E95" s="237"/>
      <c r="F95" s="237"/>
      <c r="G95" s="237"/>
      <c r="H95" s="237"/>
      <c r="I95" s="237"/>
      <c r="J95" s="237"/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</row>
    <row r="96" spans="1:24" ht="12.75" customHeight="1">
      <c r="B96" s="237"/>
      <c r="C96" s="237"/>
      <c r="D96" s="237"/>
      <c r="E96" s="237"/>
      <c r="F96" s="237"/>
      <c r="G96" s="237"/>
      <c r="H96" s="237"/>
      <c r="I96" s="237"/>
      <c r="J96" s="237"/>
      <c r="K96" s="237"/>
      <c r="L96" s="237"/>
      <c r="M96" s="237"/>
      <c r="N96" s="237"/>
      <c r="O96" s="237"/>
      <c r="P96" s="237"/>
      <c r="Q96" s="237"/>
      <c r="R96" s="237"/>
      <c r="S96" s="237"/>
      <c r="T96" s="237"/>
      <c r="U96" s="237"/>
      <c r="V96" s="237"/>
      <c r="W96" s="237"/>
    </row>
    <row r="97" spans="2:23" ht="12.75" customHeight="1">
      <c r="B97" s="237"/>
      <c r="C97" s="237"/>
      <c r="D97" s="237"/>
      <c r="E97" s="237"/>
      <c r="F97" s="237"/>
      <c r="G97" s="237"/>
      <c r="H97" s="237"/>
      <c r="I97" s="237"/>
      <c r="J97" s="237"/>
      <c r="K97" s="237"/>
      <c r="L97" s="237"/>
      <c r="M97" s="237"/>
      <c r="N97" s="237"/>
      <c r="O97" s="237"/>
      <c r="P97" s="237"/>
      <c r="Q97" s="237"/>
      <c r="R97" s="237"/>
      <c r="S97" s="237"/>
      <c r="T97" s="237"/>
      <c r="U97" s="237"/>
      <c r="V97" s="237"/>
      <c r="W97" s="237"/>
    </row>
    <row r="98" spans="2:23" ht="12.75" customHeight="1">
      <c r="B98" s="237"/>
      <c r="C98" s="237"/>
      <c r="D98" s="237"/>
      <c r="E98" s="237"/>
      <c r="F98" s="237"/>
      <c r="G98" s="237"/>
      <c r="H98" s="237"/>
      <c r="I98" s="237"/>
      <c r="J98" s="237"/>
      <c r="K98" s="237"/>
      <c r="L98" s="237"/>
      <c r="M98" s="237"/>
      <c r="N98" s="237"/>
      <c r="O98" s="237"/>
      <c r="P98" s="237"/>
      <c r="Q98" s="237"/>
      <c r="R98" s="237"/>
      <c r="S98" s="237"/>
      <c r="T98" s="237"/>
      <c r="U98" s="237"/>
      <c r="V98" s="237"/>
      <c r="W98" s="237"/>
    </row>
    <row r="99" spans="2:23" ht="12.75" customHeight="1">
      <c r="B99" s="237"/>
      <c r="C99" s="237"/>
      <c r="D99" s="237"/>
      <c r="E99" s="237"/>
      <c r="F99" s="237"/>
      <c r="G99" s="237"/>
      <c r="H99" s="237"/>
      <c r="I99" s="237"/>
      <c r="J99" s="237"/>
      <c r="K99" s="237"/>
      <c r="L99" s="237"/>
      <c r="M99" s="237"/>
      <c r="N99" s="237"/>
      <c r="O99" s="237"/>
      <c r="P99" s="237"/>
      <c r="Q99" s="237"/>
      <c r="R99" s="237"/>
      <c r="S99" s="237"/>
      <c r="T99" s="237"/>
      <c r="U99" s="237"/>
      <c r="V99" s="237"/>
      <c r="W99" s="237"/>
    </row>
    <row r="100" spans="2:23" ht="12.75" customHeight="1">
      <c r="B100" s="237"/>
      <c r="C100" s="237"/>
      <c r="D100" s="237"/>
      <c r="E100" s="237"/>
      <c r="F100" s="237"/>
      <c r="G100" s="237"/>
      <c r="H100" s="237"/>
      <c r="I100" s="237"/>
      <c r="J100" s="237"/>
      <c r="K100" s="237"/>
      <c r="L100" s="237"/>
      <c r="M100" s="237"/>
      <c r="N100" s="237"/>
      <c r="O100" s="237"/>
      <c r="P100" s="237"/>
      <c r="Q100" s="237"/>
      <c r="R100" s="237"/>
      <c r="S100" s="237"/>
      <c r="T100" s="237"/>
      <c r="U100" s="237"/>
      <c r="V100" s="237"/>
      <c r="W100" s="237"/>
    </row>
    <row r="101" spans="2:23" ht="12.75" customHeight="1">
      <c r="B101" s="237"/>
      <c r="C101" s="237"/>
      <c r="D101" s="237"/>
      <c r="E101" s="237"/>
      <c r="F101" s="237"/>
      <c r="G101" s="237"/>
      <c r="H101" s="237"/>
      <c r="I101" s="237"/>
      <c r="J101" s="237"/>
      <c r="K101" s="237"/>
      <c r="L101" s="237"/>
      <c r="M101" s="237"/>
      <c r="N101" s="237"/>
      <c r="O101" s="237"/>
      <c r="P101" s="237"/>
      <c r="Q101" s="237"/>
      <c r="R101" s="237"/>
      <c r="S101" s="237"/>
      <c r="T101" s="237"/>
      <c r="U101" s="237"/>
      <c r="V101" s="237"/>
      <c r="W101" s="237"/>
    </row>
    <row r="102" spans="2:23" ht="12.75" customHeight="1">
      <c r="B102" s="237"/>
      <c r="C102" s="237"/>
      <c r="D102" s="237"/>
      <c r="E102" s="237"/>
      <c r="F102" s="237"/>
      <c r="G102" s="237"/>
      <c r="H102" s="237"/>
      <c r="I102" s="237"/>
      <c r="J102" s="237"/>
      <c r="K102" s="237"/>
      <c r="L102" s="237"/>
      <c r="M102" s="237"/>
      <c r="N102" s="237"/>
      <c r="O102" s="237"/>
      <c r="P102" s="237"/>
      <c r="Q102" s="237"/>
      <c r="R102" s="237"/>
      <c r="S102" s="237"/>
      <c r="T102" s="237"/>
      <c r="U102" s="237"/>
      <c r="V102" s="237"/>
      <c r="W102" s="237"/>
    </row>
    <row r="103" spans="2:23" ht="12.75" customHeight="1">
      <c r="B103" s="237"/>
      <c r="C103" s="237"/>
      <c r="D103" s="237"/>
      <c r="E103" s="237"/>
      <c r="F103" s="237"/>
      <c r="G103" s="237"/>
      <c r="H103" s="237"/>
      <c r="I103" s="237"/>
      <c r="J103" s="237"/>
      <c r="K103" s="237"/>
      <c r="L103" s="237"/>
      <c r="M103" s="237"/>
      <c r="N103" s="237"/>
      <c r="O103" s="237"/>
      <c r="P103" s="237"/>
      <c r="Q103" s="237"/>
      <c r="R103" s="237"/>
      <c r="S103" s="237"/>
      <c r="T103" s="237"/>
      <c r="U103" s="237"/>
      <c r="V103" s="237"/>
      <c r="W103" s="237"/>
    </row>
    <row r="104" spans="2:23" ht="12.75" customHeight="1">
      <c r="B104" s="237"/>
      <c r="C104" s="237"/>
      <c r="D104" s="237"/>
      <c r="E104" s="237"/>
      <c r="F104" s="237"/>
      <c r="G104" s="237"/>
      <c r="H104" s="237"/>
      <c r="I104" s="237"/>
      <c r="J104" s="237"/>
      <c r="K104" s="237"/>
      <c r="L104" s="237"/>
      <c r="M104" s="237"/>
      <c r="N104" s="237"/>
      <c r="O104" s="237"/>
      <c r="P104" s="237"/>
      <c r="Q104" s="237"/>
      <c r="R104" s="237"/>
      <c r="S104" s="237"/>
      <c r="T104" s="237"/>
      <c r="U104" s="237"/>
      <c r="V104" s="237"/>
      <c r="W104" s="237"/>
    </row>
    <row r="105" spans="2:23" ht="12.75" customHeight="1">
      <c r="B105" s="237"/>
      <c r="C105" s="237"/>
      <c r="D105" s="237"/>
      <c r="E105" s="237"/>
      <c r="F105" s="237"/>
      <c r="G105" s="237"/>
      <c r="H105" s="237"/>
      <c r="I105" s="237"/>
      <c r="J105" s="237"/>
      <c r="K105" s="237"/>
      <c r="L105" s="237"/>
      <c r="M105" s="237"/>
      <c r="N105" s="237"/>
      <c r="O105" s="237"/>
      <c r="P105" s="237"/>
      <c r="Q105" s="237"/>
      <c r="R105" s="237"/>
      <c r="S105" s="237"/>
      <c r="T105" s="237"/>
      <c r="U105" s="237"/>
      <c r="V105" s="237"/>
      <c r="W105" s="237"/>
    </row>
    <row r="106" spans="2:23" ht="12.75" customHeight="1">
      <c r="B106" s="237"/>
      <c r="C106" s="237"/>
      <c r="D106" s="237"/>
      <c r="E106" s="237"/>
      <c r="F106" s="237"/>
      <c r="G106" s="237"/>
      <c r="H106" s="237"/>
      <c r="I106" s="237"/>
      <c r="J106" s="237"/>
      <c r="K106" s="237"/>
      <c r="L106" s="237"/>
      <c r="M106" s="237"/>
      <c r="N106" s="237"/>
      <c r="O106" s="237"/>
      <c r="P106" s="237"/>
      <c r="Q106" s="237"/>
      <c r="R106" s="237"/>
      <c r="S106" s="237"/>
      <c r="T106" s="237"/>
      <c r="U106" s="237"/>
      <c r="V106" s="237"/>
      <c r="W106" s="237"/>
    </row>
    <row r="107" spans="2:23" ht="12.75" customHeight="1">
      <c r="B107" s="237"/>
      <c r="C107" s="237"/>
      <c r="D107" s="237"/>
      <c r="E107" s="237"/>
      <c r="F107" s="237"/>
      <c r="G107" s="237"/>
      <c r="H107" s="237"/>
      <c r="I107" s="237"/>
      <c r="J107" s="237"/>
      <c r="K107" s="237"/>
      <c r="L107" s="237"/>
      <c r="M107" s="237"/>
      <c r="N107" s="237"/>
      <c r="O107" s="237"/>
      <c r="P107" s="237"/>
      <c r="Q107" s="237"/>
      <c r="R107" s="237"/>
      <c r="S107" s="237"/>
      <c r="T107" s="237"/>
      <c r="U107" s="237"/>
      <c r="V107" s="237"/>
      <c r="W107" s="237"/>
    </row>
    <row r="108" spans="2:23" ht="12.75" customHeight="1">
      <c r="B108" s="237"/>
      <c r="C108" s="237"/>
      <c r="D108" s="237"/>
      <c r="E108" s="237"/>
      <c r="F108" s="237"/>
      <c r="G108" s="237"/>
      <c r="H108" s="237"/>
      <c r="I108" s="237"/>
      <c r="J108" s="237"/>
      <c r="K108" s="237"/>
      <c r="L108" s="237"/>
      <c r="M108" s="237"/>
      <c r="N108" s="237"/>
      <c r="O108" s="237"/>
      <c r="P108" s="237"/>
      <c r="Q108" s="237"/>
      <c r="R108" s="237"/>
      <c r="S108" s="237"/>
      <c r="T108" s="237"/>
      <c r="U108" s="237"/>
      <c r="V108" s="237"/>
      <c r="W108" s="237"/>
    </row>
    <row r="109" spans="2:23" ht="12.75" customHeight="1">
      <c r="B109" s="237"/>
      <c r="C109" s="237"/>
      <c r="D109" s="237"/>
      <c r="E109" s="237"/>
      <c r="F109" s="237"/>
      <c r="G109" s="237"/>
      <c r="H109" s="237"/>
      <c r="I109" s="237"/>
      <c r="J109" s="237"/>
      <c r="K109" s="237"/>
      <c r="L109" s="237"/>
      <c r="M109" s="237"/>
      <c r="N109" s="237"/>
      <c r="O109" s="237"/>
      <c r="P109" s="237"/>
      <c r="Q109" s="237"/>
      <c r="R109" s="237"/>
      <c r="S109" s="237"/>
      <c r="T109" s="237"/>
      <c r="U109" s="237"/>
      <c r="V109" s="237"/>
      <c r="W109" s="237"/>
    </row>
    <row r="110" spans="2:23" ht="12.75" customHeight="1">
      <c r="B110" s="237"/>
      <c r="C110" s="237"/>
      <c r="D110" s="237"/>
      <c r="E110" s="237"/>
      <c r="F110" s="237"/>
      <c r="G110" s="237"/>
      <c r="H110" s="237"/>
      <c r="I110" s="237"/>
      <c r="J110" s="237"/>
      <c r="K110" s="237"/>
      <c r="L110" s="237"/>
      <c r="M110" s="237"/>
      <c r="N110" s="237"/>
      <c r="O110" s="237"/>
      <c r="P110" s="237"/>
      <c r="Q110" s="237"/>
      <c r="R110" s="237"/>
      <c r="S110" s="237"/>
      <c r="T110" s="237"/>
      <c r="U110" s="237"/>
      <c r="V110" s="237"/>
      <c r="W110" s="237"/>
    </row>
    <row r="111" spans="2:23" ht="12.75" customHeight="1">
      <c r="B111" s="237"/>
      <c r="C111" s="237"/>
      <c r="D111" s="237"/>
      <c r="E111" s="237"/>
      <c r="F111" s="237"/>
      <c r="G111" s="237"/>
      <c r="H111" s="237"/>
      <c r="I111" s="237"/>
      <c r="J111" s="237"/>
      <c r="K111" s="237"/>
      <c r="L111" s="237"/>
      <c r="M111" s="237"/>
      <c r="N111" s="237"/>
      <c r="O111" s="237"/>
      <c r="P111" s="237"/>
      <c r="Q111" s="237"/>
      <c r="R111" s="237"/>
      <c r="S111" s="237"/>
      <c r="T111" s="237"/>
      <c r="U111" s="237"/>
      <c r="V111" s="237"/>
      <c r="W111" s="237"/>
    </row>
    <row r="112" spans="2:23" ht="12.75" customHeight="1">
      <c r="B112" s="237"/>
      <c r="C112" s="237"/>
      <c r="D112" s="237"/>
      <c r="E112" s="237"/>
      <c r="F112" s="237"/>
      <c r="G112" s="237"/>
      <c r="H112" s="237"/>
      <c r="I112" s="237"/>
      <c r="J112" s="237"/>
      <c r="K112" s="237"/>
      <c r="L112" s="237"/>
      <c r="M112" s="237"/>
      <c r="N112" s="237"/>
      <c r="O112" s="237"/>
      <c r="P112" s="237"/>
      <c r="Q112" s="237"/>
      <c r="R112" s="237"/>
      <c r="S112" s="237"/>
      <c r="T112" s="237"/>
      <c r="U112" s="237"/>
      <c r="V112" s="237"/>
      <c r="W112" s="237"/>
    </row>
    <row r="113" spans="2:23" ht="12.75" customHeight="1">
      <c r="B113" s="237"/>
      <c r="C113" s="237"/>
      <c r="D113" s="237"/>
      <c r="E113" s="237"/>
      <c r="F113" s="237"/>
      <c r="G113" s="237"/>
      <c r="H113" s="237"/>
      <c r="I113" s="237"/>
      <c r="J113" s="237"/>
      <c r="K113" s="237"/>
      <c r="L113" s="237"/>
      <c r="M113" s="237"/>
      <c r="N113" s="237"/>
      <c r="O113" s="237"/>
      <c r="P113" s="237"/>
      <c r="Q113" s="237"/>
      <c r="R113" s="237"/>
      <c r="S113" s="237"/>
      <c r="T113" s="237"/>
      <c r="U113" s="237"/>
      <c r="V113" s="237"/>
      <c r="W113" s="237"/>
    </row>
    <row r="114" spans="2:23" ht="12.75" customHeight="1">
      <c r="B114" s="237"/>
      <c r="C114" s="237"/>
      <c r="D114" s="237"/>
      <c r="E114" s="237"/>
      <c r="F114" s="237"/>
      <c r="G114" s="237"/>
      <c r="H114" s="237"/>
      <c r="I114" s="237"/>
      <c r="J114" s="237"/>
      <c r="K114" s="237"/>
      <c r="L114" s="237"/>
      <c r="M114" s="237"/>
      <c r="N114" s="237"/>
      <c r="O114" s="237"/>
      <c r="P114" s="237"/>
      <c r="Q114" s="237"/>
      <c r="R114" s="237"/>
      <c r="S114" s="237"/>
      <c r="T114" s="237"/>
      <c r="U114" s="237"/>
      <c r="V114" s="237"/>
      <c r="W114" s="237"/>
    </row>
    <row r="115" spans="2:23" ht="12.75" customHeight="1">
      <c r="B115" s="237"/>
      <c r="C115" s="237"/>
      <c r="D115" s="237"/>
      <c r="E115" s="237"/>
      <c r="F115" s="237"/>
      <c r="G115" s="237"/>
      <c r="H115" s="237"/>
      <c r="I115" s="237"/>
      <c r="J115" s="237"/>
      <c r="K115" s="237"/>
      <c r="L115" s="237"/>
      <c r="M115" s="237"/>
      <c r="N115" s="237"/>
      <c r="O115" s="237"/>
      <c r="P115" s="237"/>
      <c r="Q115" s="237"/>
      <c r="R115" s="237"/>
      <c r="S115" s="237"/>
      <c r="T115" s="237"/>
      <c r="U115" s="237"/>
      <c r="V115" s="237"/>
      <c r="W115" s="237"/>
    </row>
    <row r="116" spans="2:23" ht="12.75" customHeight="1">
      <c r="B116" s="237"/>
      <c r="C116" s="237"/>
      <c r="D116" s="237"/>
      <c r="E116" s="237"/>
      <c r="F116" s="237"/>
      <c r="G116" s="237"/>
      <c r="H116" s="237"/>
      <c r="I116" s="237"/>
      <c r="J116" s="237"/>
      <c r="K116" s="237"/>
      <c r="L116" s="237"/>
      <c r="M116" s="237"/>
      <c r="N116" s="237"/>
      <c r="O116" s="237"/>
      <c r="P116" s="237"/>
      <c r="Q116" s="237"/>
      <c r="R116" s="237"/>
      <c r="S116" s="237"/>
      <c r="T116" s="237"/>
      <c r="U116" s="237"/>
      <c r="V116" s="237"/>
      <c r="W116" s="237"/>
    </row>
    <row r="117" spans="2:23" ht="12.75" customHeight="1">
      <c r="B117" s="237"/>
      <c r="C117" s="237"/>
      <c r="D117" s="237"/>
      <c r="E117" s="237"/>
      <c r="F117" s="237"/>
      <c r="G117" s="237"/>
      <c r="H117" s="237"/>
      <c r="I117" s="237"/>
      <c r="J117" s="237"/>
      <c r="K117" s="237"/>
      <c r="L117" s="237"/>
      <c r="M117" s="237"/>
      <c r="N117" s="237"/>
      <c r="O117" s="237"/>
      <c r="P117" s="237"/>
      <c r="Q117" s="237"/>
      <c r="R117" s="237"/>
      <c r="S117" s="237"/>
      <c r="T117" s="237"/>
      <c r="U117" s="237"/>
      <c r="V117" s="237"/>
      <c r="W117" s="237"/>
    </row>
    <row r="118" spans="2:23" ht="12.75" customHeight="1">
      <c r="B118" s="237"/>
      <c r="C118" s="237"/>
      <c r="D118" s="237"/>
      <c r="E118" s="237"/>
      <c r="F118" s="237"/>
      <c r="G118" s="237"/>
      <c r="H118" s="237"/>
      <c r="I118" s="237"/>
      <c r="J118" s="237"/>
      <c r="K118" s="237"/>
      <c r="L118" s="237"/>
      <c r="M118" s="237"/>
      <c r="N118" s="237"/>
      <c r="O118" s="237"/>
      <c r="P118" s="237"/>
      <c r="Q118" s="237"/>
      <c r="R118" s="237"/>
      <c r="S118" s="237"/>
      <c r="T118" s="237"/>
      <c r="U118" s="237"/>
      <c r="V118" s="237"/>
      <c r="W118" s="237"/>
    </row>
    <row r="119" spans="2:23" ht="12.75" customHeight="1">
      <c r="B119" s="237"/>
      <c r="C119" s="237"/>
      <c r="D119" s="237"/>
      <c r="E119" s="237"/>
      <c r="F119" s="237"/>
      <c r="G119" s="237"/>
      <c r="H119" s="237"/>
      <c r="I119" s="237"/>
      <c r="J119" s="237"/>
      <c r="K119" s="237"/>
      <c r="L119" s="237"/>
      <c r="M119" s="237"/>
      <c r="N119" s="237"/>
      <c r="O119" s="237"/>
      <c r="P119" s="237"/>
      <c r="Q119" s="237"/>
      <c r="R119" s="237"/>
      <c r="S119" s="237"/>
      <c r="T119" s="237"/>
      <c r="U119" s="237"/>
      <c r="V119" s="237"/>
      <c r="W119" s="237"/>
    </row>
    <row r="120" spans="2:23" ht="12.75" customHeight="1">
      <c r="B120" s="237"/>
      <c r="C120" s="237"/>
      <c r="D120" s="237"/>
      <c r="E120" s="237"/>
      <c r="F120" s="237"/>
      <c r="G120" s="237"/>
      <c r="H120" s="237"/>
      <c r="I120" s="237"/>
      <c r="J120" s="237"/>
      <c r="K120" s="237"/>
      <c r="L120" s="237"/>
      <c r="M120" s="237"/>
      <c r="N120" s="237"/>
      <c r="O120" s="237"/>
      <c r="P120" s="237"/>
      <c r="Q120" s="237"/>
      <c r="R120" s="237"/>
      <c r="S120" s="237"/>
      <c r="T120" s="237"/>
      <c r="U120" s="237"/>
      <c r="V120" s="237"/>
      <c r="W120" s="237"/>
    </row>
    <row r="121" spans="2:23" ht="12.75" customHeight="1">
      <c r="B121" s="237"/>
      <c r="C121" s="237"/>
      <c r="D121" s="237"/>
      <c r="E121" s="237"/>
      <c r="F121" s="237"/>
      <c r="G121" s="237"/>
      <c r="H121" s="237"/>
      <c r="I121" s="237"/>
      <c r="J121" s="237"/>
      <c r="K121" s="237"/>
      <c r="L121" s="237"/>
      <c r="M121" s="237"/>
      <c r="N121" s="237"/>
      <c r="O121" s="237"/>
      <c r="P121" s="237"/>
      <c r="Q121" s="237"/>
      <c r="R121" s="237"/>
      <c r="S121" s="237"/>
      <c r="T121" s="237"/>
      <c r="U121" s="237"/>
      <c r="V121" s="237"/>
      <c r="W121" s="237"/>
    </row>
    <row r="122" spans="2:23" ht="12.75" customHeight="1">
      <c r="B122" s="237"/>
      <c r="C122" s="237"/>
      <c r="D122" s="237"/>
      <c r="E122" s="237"/>
      <c r="F122" s="237"/>
      <c r="G122" s="237"/>
      <c r="H122" s="237"/>
      <c r="I122" s="237"/>
      <c r="J122" s="237"/>
      <c r="K122" s="237"/>
      <c r="L122" s="237"/>
      <c r="M122" s="237"/>
      <c r="N122" s="237"/>
      <c r="O122" s="237"/>
      <c r="P122" s="237"/>
      <c r="Q122" s="237"/>
      <c r="R122" s="237"/>
      <c r="S122" s="237"/>
      <c r="T122" s="237"/>
      <c r="U122" s="237"/>
      <c r="V122" s="237"/>
      <c r="W122" s="237"/>
    </row>
    <row r="123" spans="2:23" ht="12.75" customHeight="1">
      <c r="B123" s="237"/>
      <c r="C123" s="237"/>
      <c r="D123" s="237"/>
      <c r="E123" s="237"/>
      <c r="F123" s="237"/>
      <c r="G123" s="237"/>
      <c r="H123" s="237"/>
      <c r="I123" s="237"/>
      <c r="J123" s="237"/>
      <c r="K123" s="237"/>
      <c r="L123" s="237"/>
      <c r="M123" s="237"/>
      <c r="N123" s="237"/>
      <c r="O123" s="237"/>
      <c r="P123" s="237"/>
      <c r="Q123" s="237"/>
      <c r="R123" s="237"/>
      <c r="S123" s="237"/>
      <c r="T123" s="237"/>
      <c r="U123" s="237"/>
      <c r="V123" s="237"/>
      <c r="W123" s="237"/>
    </row>
    <row r="124" spans="2:23" ht="12.75" customHeight="1">
      <c r="B124" s="237"/>
      <c r="C124" s="237"/>
      <c r="D124" s="237"/>
      <c r="E124" s="237"/>
      <c r="F124" s="237"/>
      <c r="G124" s="237"/>
      <c r="H124" s="237"/>
      <c r="I124" s="237"/>
      <c r="J124" s="237"/>
      <c r="K124" s="237"/>
      <c r="L124" s="237"/>
      <c r="M124" s="237"/>
      <c r="N124" s="237"/>
      <c r="O124" s="237"/>
      <c r="P124" s="237"/>
      <c r="Q124" s="237"/>
      <c r="R124" s="237"/>
      <c r="S124" s="237"/>
      <c r="T124" s="237"/>
      <c r="U124" s="237"/>
      <c r="V124" s="237"/>
      <c r="W124" s="237"/>
    </row>
    <row r="125" spans="2:23" ht="12.75" customHeight="1">
      <c r="B125" s="237"/>
      <c r="C125" s="237"/>
      <c r="D125" s="237"/>
      <c r="E125" s="237"/>
      <c r="F125" s="237"/>
      <c r="G125" s="237"/>
      <c r="H125" s="237"/>
      <c r="I125" s="237"/>
      <c r="J125" s="237"/>
      <c r="K125" s="237"/>
      <c r="L125" s="237"/>
      <c r="M125" s="237"/>
      <c r="N125" s="237"/>
      <c r="O125" s="237"/>
      <c r="P125" s="237"/>
      <c r="Q125" s="237"/>
      <c r="R125" s="237"/>
      <c r="S125" s="237"/>
      <c r="T125" s="237"/>
      <c r="U125" s="237"/>
      <c r="V125" s="237"/>
      <c r="W125" s="237"/>
    </row>
    <row r="126" spans="2:23" ht="12.75" customHeight="1">
      <c r="B126" s="237"/>
      <c r="C126" s="237"/>
      <c r="D126" s="237"/>
      <c r="E126" s="237"/>
      <c r="F126" s="237"/>
      <c r="G126" s="237"/>
      <c r="H126" s="237"/>
      <c r="I126" s="237"/>
      <c r="J126" s="237"/>
      <c r="K126" s="237"/>
      <c r="L126" s="237"/>
      <c r="M126" s="237"/>
      <c r="N126" s="237"/>
      <c r="O126" s="237"/>
      <c r="P126" s="237"/>
      <c r="Q126" s="237"/>
      <c r="R126" s="237"/>
      <c r="S126" s="237"/>
      <c r="T126" s="237"/>
      <c r="U126" s="237"/>
      <c r="V126" s="237"/>
      <c r="W126" s="237"/>
    </row>
    <row r="127" spans="2:23" ht="12.75" customHeight="1">
      <c r="B127" s="237"/>
      <c r="C127" s="237"/>
      <c r="D127" s="237"/>
      <c r="E127" s="237"/>
      <c r="F127" s="237"/>
      <c r="G127" s="237"/>
      <c r="H127" s="237"/>
      <c r="I127" s="237"/>
      <c r="J127" s="237"/>
      <c r="K127" s="237"/>
      <c r="L127" s="237"/>
      <c r="M127" s="237"/>
      <c r="N127" s="237"/>
      <c r="O127" s="237"/>
      <c r="P127" s="237"/>
      <c r="Q127" s="237"/>
      <c r="R127" s="237"/>
      <c r="S127" s="237"/>
      <c r="T127" s="237"/>
      <c r="U127" s="237"/>
      <c r="V127" s="237"/>
      <c r="W127" s="237"/>
    </row>
    <row r="128" spans="2:23" ht="12.75" customHeight="1">
      <c r="B128" s="237"/>
      <c r="C128" s="237"/>
      <c r="D128" s="237"/>
      <c r="E128" s="237"/>
      <c r="F128" s="237"/>
      <c r="G128" s="237"/>
      <c r="H128" s="237"/>
      <c r="I128" s="237"/>
      <c r="J128" s="237"/>
      <c r="K128" s="237"/>
      <c r="L128" s="237"/>
      <c r="M128" s="237"/>
      <c r="N128" s="237"/>
      <c r="O128" s="237"/>
      <c r="P128" s="237"/>
      <c r="Q128" s="237"/>
      <c r="R128" s="237"/>
      <c r="S128" s="237"/>
      <c r="T128" s="237"/>
      <c r="U128" s="237"/>
      <c r="V128" s="237"/>
      <c r="W128" s="237"/>
    </row>
    <row r="129" spans="2:23" ht="12.75" customHeight="1">
      <c r="B129" s="237"/>
      <c r="C129" s="237"/>
      <c r="D129" s="237"/>
      <c r="E129" s="237"/>
      <c r="F129" s="237"/>
      <c r="G129" s="237"/>
      <c r="H129" s="237"/>
      <c r="I129" s="237"/>
      <c r="J129" s="237"/>
      <c r="K129" s="237"/>
      <c r="L129" s="237"/>
      <c r="M129" s="237"/>
      <c r="N129" s="237"/>
      <c r="O129" s="237"/>
      <c r="P129" s="237"/>
      <c r="Q129" s="237"/>
      <c r="R129" s="237"/>
      <c r="S129" s="237"/>
      <c r="T129" s="237"/>
      <c r="U129" s="237"/>
      <c r="V129" s="237"/>
      <c r="W129" s="237"/>
    </row>
    <row r="130" spans="2:23" ht="12.75" customHeight="1">
      <c r="B130" s="237"/>
      <c r="C130" s="237"/>
      <c r="D130" s="237"/>
      <c r="E130" s="237"/>
      <c r="F130" s="237"/>
      <c r="G130" s="237"/>
      <c r="H130" s="237"/>
      <c r="I130" s="237"/>
      <c r="J130" s="237"/>
      <c r="K130" s="237"/>
      <c r="L130" s="237"/>
      <c r="M130" s="237"/>
      <c r="N130" s="237"/>
      <c r="O130" s="237"/>
      <c r="P130" s="237"/>
      <c r="Q130" s="237"/>
      <c r="R130" s="237"/>
      <c r="S130" s="237"/>
      <c r="T130" s="237"/>
      <c r="U130" s="237"/>
      <c r="V130" s="237"/>
      <c r="W130" s="237"/>
    </row>
    <row r="131" spans="2:23" ht="12.75" customHeight="1">
      <c r="B131" s="237"/>
      <c r="C131" s="237"/>
      <c r="D131" s="237"/>
      <c r="E131" s="237"/>
      <c r="F131" s="237"/>
      <c r="G131" s="237"/>
      <c r="H131" s="237"/>
      <c r="I131" s="237"/>
      <c r="J131" s="237"/>
      <c r="K131" s="237"/>
      <c r="L131" s="237"/>
      <c r="M131" s="237"/>
      <c r="N131" s="237"/>
      <c r="O131" s="237"/>
      <c r="P131" s="237"/>
      <c r="Q131" s="237"/>
      <c r="R131" s="237"/>
      <c r="S131" s="237"/>
      <c r="T131" s="237"/>
      <c r="U131" s="237"/>
      <c r="V131" s="237"/>
      <c r="W131" s="237"/>
    </row>
    <row r="132" spans="2:23" ht="12.75" customHeight="1">
      <c r="B132" s="237"/>
      <c r="C132" s="237"/>
      <c r="D132" s="237"/>
      <c r="E132" s="237"/>
      <c r="F132" s="237"/>
      <c r="G132" s="237"/>
      <c r="H132" s="237"/>
      <c r="I132" s="237"/>
      <c r="J132" s="237"/>
      <c r="K132" s="237"/>
      <c r="L132" s="237"/>
      <c r="M132" s="237"/>
      <c r="N132" s="237"/>
      <c r="O132" s="237"/>
      <c r="P132" s="237"/>
      <c r="Q132" s="237"/>
      <c r="R132" s="237"/>
      <c r="S132" s="237"/>
      <c r="T132" s="237"/>
      <c r="U132" s="237"/>
      <c r="V132" s="237"/>
      <c r="W132" s="237"/>
    </row>
    <row r="133" spans="2:23" ht="12.75" customHeight="1">
      <c r="B133" s="237"/>
      <c r="C133" s="237"/>
      <c r="D133" s="237"/>
      <c r="E133" s="237"/>
      <c r="F133" s="237"/>
      <c r="G133" s="237"/>
      <c r="H133" s="237"/>
      <c r="I133" s="237"/>
      <c r="J133" s="237"/>
      <c r="K133" s="237"/>
      <c r="L133" s="237"/>
      <c r="M133" s="237"/>
      <c r="N133" s="237"/>
      <c r="O133" s="237"/>
      <c r="P133" s="237"/>
      <c r="Q133" s="237"/>
      <c r="R133" s="237"/>
      <c r="S133" s="237"/>
      <c r="T133" s="237"/>
      <c r="U133" s="237"/>
      <c r="V133" s="237"/>
      <c r="W133" s="237"/>
    </row>
    <row r="134" spans="2:23" ht="12.75" customHeight="1">
      <c r="B134" s="237"/>
      <c r="C134" s="237"/>
      <c r="D134" s="237"/>
      <c r="E134" s="237"/>
      <c r="F134" s="237"/>
      <c r="G134" s="237"/>
      <c r="H134" s="237"/>
      <c r="I134" s="237"/>
      <c r="J134" s="237"/>
      <c r="K134" s="237"/>
      <c r="L134" s="237"/>
      <c r="M134" s="237"/>
      <c r="N134" s="237"/>
      <c r="O134" s="237"/>
      <c r="P134" s="237"/>
      <c r="Q134" s="237"/>
      <c r="R134" s="237"/>
      <c r="S134" s="237"/>
      <c r="T134" s="237"/>
      <c r="U134" s="237"/>
      <c r="V134" s="237"/>
      <c r="W134" s="237"/>
    </row>
    <row r="135" spans="2:23" ht="12.75" customHeight="1">
      <c r="B135" s="237"/>
      <c r="C135" s="237"/>
      <c r="D135" s="237"/>
      <c r="E135" s="237"/>
      <c r="F135" s="237"/>
      <c r="G135" s="237"/>
      <c r="H135" s="237"/>
      <c r="I135" s="237"/>
      <c r="J135" s="237"/>
      <c r="K135" s="237"/>
      <c r="L135" s="237"/>
      <c r="M135" s="237"/>
      <c r="N135" s="237"/>
      <c r="O135" s="237"/>
      <c r="P135" s="237"/>
      <c r="Q135" s="237"/>
      <c r="R135" s="237"/>
      <c r="S135" s="237"/>
      <c r="T135" s="237"/>
      <c r="U135" s="237"/>
      <c r="V135" s="237"/>
      <c r="W135" s="237"/>
    </row>
    <row r="136" spans="2:23" ht="12.75" customHeight="1">
      <c r="B136" s="237"/>
      <c r="C136" s="237"/>
      <c r="D136" s="237"/>
      <c r="E136" s="237"/>
      <c r="F136" s="237"/>
      <c r="G136" s="237"/>
      <c r="H136" s="237"/>
      <c r="I136" s="237"/>
      <c r="J136" s="237"/>
      <c r="K136" s="237"/>
      <c r="L136" s="237"/>
      <c r="M136" s="237"/>
      <c r="N136" s="237"/>
      <c r="O136" s="237"/>
      <c r="P136" s="237"/>
      <c r="Q136" s="237"/>
      <c r="R136" s="237"/>
      <c r="S136" s="237"/>
      <c r="T136" s="237"/>
      <c r="U136" s="237"/>
      <c r="V136" s="237"/>
      <c r="W136" s="237"/>
    </row>
    <row r="137" spans="2:23" ht="12.75" customHeight="1">
      <c r="B137" s="237"/>
      <c r="C137" s="237"/>
      <c r="D137" s="237"/>
      <c r="E137" s="237"/>
      <c r="F137" s="237"/>
      <c r="G137" s="237"/>
      <c r="H137" s="237"/>
      <c r="I137" s="237"/>
      <c r="J137" s="237"/>
      <c r="K137" s="237"/>
      <c r="L137" s="237"/>
      <c r="M137" s="237"/>
      <c r="N137" s="237"/>
      <c r="O137" s="237"/>
      <c r="P137" s="237"/>
      <c r="Q137" s="237"/>
      <c r="R137" s="237"/>
      <c r="S137" s="237"/>
      <c r="T137" s="237"/>
      <c r="U137" s="237"/>
      <c r="V137" s="237"/>
      <c r="W137" s="237"/>
    </row>
    <row r="138" spans="2:23" ht="12.75" customHeight="1">
      <c r="B138" s="237"/>
      <c r="C138" s="237"/>
      <c r="D138" s="237"/>
      <c r="E138" s="237"/>
      <c r="F138" s="237"/>
      <c r="G138" s="237"/>
      <c r="H138" s="237"/>
      <c r="I138" s="237"/>
      <c r="J138" s="237"/>
      <c r="K138" s="237"/>
      <c r="L138" s="237"/>
      <c r="M138" s="237"/>
      <c r="N138" s="237"/>
      <c r="O138" s="237"/>
      <c r="P138" s="237"/>
      <c r="Q138" s="237"/>
      <c r="R138" s="237"/>
      <c r="S138" s="237"/>
      <c r="T138" s="237"/>
      <c r="U138" s="237"/>
      <c r="V138" s="237"/>
      <c r="W138" s="237"/>
    </row>
    <row r="139" spans="2:23" ht="12.75" customHeight="1">
      <c r="B139" s="237"/>
      <c r="C139" s="237"/>
      <c r="D139" s="237"/>
      <c r="E139" s="237"/>
      <c r="F139" s="237"/>
      <c r="G139" s="237"/>
      <c r="H139" s="237"/>
      <c r="I139" s="237"/>
      <c r="J139" s="237"/>
      <c r="K139" s="237"/>
      <c r="L139" s="237"/>
      <c r="M139" s="237"/>
      <c r="N139" s="237"/>
      <c r="O139" s="237"/>
      <c r="P139" s="237"/>
      <c r="Q139" s="237"/>
      <c r="R139" s="237"/>
      <c r="S139" s="237"/>
      <c r="T139" s="237"/>
      <c r="U139" s="237"/>
      <c r="V139" s="237"/>
      <c r="W139" s="237"/>
    </row>
    <row r="140" spans="2:23" ht="12.75" customHeight="1">
      <c r="B140" s="237"/>
      <c r="C140" s="237"/>
      <c r="D140" s="237"/>
      <c r="E140" s="237"/>
      <c r="F140" s="237"/>
      <c r="G140" s="237"/>
      <c r="H140" s="237"/>
      <c r="I140" s="237"/>
      <c r="J140" s="237"/>
      <c r="K140" s="237"/>
      <c r="L140" s="237"/>
      <c r="M140" s="237"/>
      <c r="N140" s="237"/>
      <c r="O140" s="237"/>
      <c r="P140" s="237"/>
      <c r="Q140" s="237"/>
      <c r="R140" s="237"/>
      <c r="S140" s="237"/>
      <c r="T140" s="237"/>
      <c r="U140" s="237"/>
      <c r="V140" s="237"/>
      <c r="W140" s="237"/>
    </row>
    <row r="141" spans="2:23" ht="12.75" customHeight="1">
      <c r="B141" s="237"/>
      <c r="C141" s="237"/>
      <c r="D141" s="237"/>
      <c r="E141" s="237"/>
      <c r="F141" s="237"/>
      <c r="G141" s="237"/>
      <c r="H141" s="237"/>
      <c r="I141" s="237"/>
      <c r="J141" s="237"/>
      <c r="K141" s="237"/>
      <c r="L141" s="237"/>
      <c r="M141" s="237"/>
      <c r="N141" s="237"/>
      <c r="O141" s="237"/>
      <c r="P141" s="237"/>
      <c r="Q141" s="237"/>
      <c r="R141" s="237"/>
      <c r="S141" s="237"/>
      <c r="T141" s="237"/>
      <c r="U141" s="237"/>
      <c r="V141" s="237"/>
      <c r="W141" s="237"/>
    </row>
    <row r="142" spans="2:23" ht="12.75" customHeight="1">
      <c r="B142" s="237"/>
      <c r="C142" s="237"/>
      <c r="D142" s="237"/>
      <c r="E142" s="237"/>
      <c r="F142" s="237"/>
      <c r="G142" s="237"/>
      <c r="H142" s="237"/>
      <c r="I142" s="237"/>
      <c r="J142" s="237"/>
      <c r="K142" s="237"/>
      <c r="L142" s="237"/>
      <c r="M142" s="237"/>
      <c r="N142" s="237"/>
      <c r="O142" s="237"/>
      <c r="P142" s="237"/>
      <c r="Q142" s="237"/>
      <c r="R142" s="237"/>
      <c r="S142" s="237"/>
      <c r="T142" s="237"/>
      <c r="U142" s="237"/>
      <c r="V142" s="237"/>
      <c r="W142" s="237"/>
    </row>
    <row r="143" spans="2:23" ht="12.75" customHeight="1">
      <c r="B143" s="237"/>
      <c r="C143" s="237"/>
      <c r="D143" s="237"/>
      <c r="E143" s="237"/>
      <c r="F143" s="237"/>
      <c r="G143" s="237"/>
      <c r="H143" s="237"/>
      <c r="I143" s="237"/>
      <c r="J143" s="237"/>
      <c r="K143" s="237"/>
      <c r="L143" s="237"/>
      <c r="M143" s="237"/>
      <c r="N143" s="237"/>
      <c r="O143" s="237"/>
      <c r="P143" s="237"/>
      <c r="Q143" s="237"/>
      <c r="R143" s="237"/>
      <c r="S143" s="237"/>
      <c r="T143" s="237"/>
      <c r="U143" s="237"/>
      <c r="V143" s="237"/>
      <c r="W143" s="237"/>
    </row>
    <row r="144" spans="2:23" ht="12.75" customHeight="1">
      <c r="B144" s="237"/>
      <c r="C144" s="237"/>
      <c r="D144" s="237"/>
      <c r="E144" s="237"/>
      <c r="F144" s="237"/>
      <c r="G144" s="237"/>
      <c r="H144" s="237"/>
      <c r="I144" s="237"/>
      <c r="J144" s="237"/>
      <c r="K144" s="237"/>
      <c r="L144" s="237"/>
      <c r="M144" s="237"/>
      <c r="N144" s="237"/>
      <c r="O144" s="237"/>
      <c r="P144" s="237"/>
      <c r="Q144" s="237"/>
      <c r="R144" s="237"/>
      <c r="S144" s="237"/>
      <c r="T144" s="237"/>
      <c r="U144" s="237"/>
      <c r="V144" s="237"/>
      <c r="W144" s="237"/>
    </row>
    <row r="145" spans="2:23" ht="12.75" customHeight="1">
      <c r="B145" s="237"/>
      <c r="C145" s="237"/>
      <c r="D145" s="237"/>
      <c r="E145" s="237"/>
      <c r="F145" s="237"/>
      <c r="G145" s="237"/>
      <c r="H145" s="237"/>
      <c r="I145" s="237"/>
      <c r="J145" s="237"/>
      <c r="K145" s="237"/>
      <c r="L145" s="237"/>
      <c r="M145" s="237"/>
      <c r="N145" s="237"/>
      <c r="O145" s="237"/>
      <c r="P145" s="237"/>
      <c r="Q145" s="237"/>
      <c r="R145" s="237"/>
      <c r="S145" s="237"/>
      <c r="T145" s="237"/>
      <c r="U145" s="237"/>
      <c r="V145" s="237"/>
      <c r="W145" s="237"/>
    </row>
    <row r="146" spans="2:23" ht="12.75" customHeight="1">
      <c r="B146" s="237"/>
      <c r="C146" s="237"/>
      <c r="D146" s="237"/>
      <c r="E146" s="237"/>
      <c r="F146" s="237"/>
      <c r="G146" s="237"/>
      <c r="H146" s="237"/>
      <c r="I146" s="237"/>
      <c r="J146" s="237"/>
      <c r="K146" s="237"/>
      <c r="L146" s="237"/>
      <c r="M146" s="237"/>
      <c r="N146" s="237"/>
      <c r="O146" s="237"/>
      <c r="P146" s="237"/>
      <c r="Q146" s="237"/>
      <c r="R146" s="237"/>
      <c r="S146" s="237"/>
      <c r="T146" s="237"/>
      <c r="U146" s="237"/>
      <c r="V146" s="237"/>
      <c r="W146" s="237"/>
    </row>
    <row r="147" spans="2:23" ht="12.75" customHeight="1">
      <c r="B147" s="237"/>
      <c r="C147" s="237"/>
      <c r="D147" s="237"/>
      <c r="E147" s="237"/>
      <c r="F147" s="237"/>
      <c r="G147" s="237"/>
      <c r="H147" s="237"/>
      <c r="I147" s="237"/>
      <c r="J147" s="237"/>
      <c r="K147" s="237"/>
      <c r="L147" s="237"/>
      <c r="M147" s="237"/>
      <c r="N147" s="237"/>
      <c r="O147" s="237"/>
      <c r="P147" s="237"/>
      <c r="Q147" s="237"/>
      <c r="R147" s="237"/>
      <c r="S147" s="237"/>
      <c r="T147" s="237"/>
      <c r="U147" s="237"/>
      <c r="V147" s="237"/>
      <c r="W147" s="237"/>
    </row>
    <row r="148" spans="2:23" ht="12.75" customHeight="1">
      <c r="B148" s="237"/>
      <c r="C148" s="237"/>
      <c r="D148" s="237"/>
      <c r="E148" s="237"/>
      <c r="F148" s="237"/>
      <c r="G148" s="237"/>
      <c r="H148" s="237"/>
      <c r="I148" s="237"/>
      <c r="J148" s="237"/>
      <c r="K148" s="237"/>
      <c r="L148" s="237"/>
      <c r="M148" s="237"/>
      <c r="N148" s="237"/>
      <c r="O148" s="237"/>
      <c r="P148" s="237"/>
      <c r="Q148" s="237"/>
      <c r="R148" s="237"/>
      <c r="S148" s="237"/>
      <c r="T148" s="237"/>
      <c r="U148" s="237"/>
      <c r="V148" s="237"/>
      <c r="W148" s="237"/>
    </row>
    <row r="149" spans="2:23" ht="12.75" customHeight="1">
      <c r="B149" s="237"/>
      <c r="C149" s="237"/>
      <c r="D149" s="237"/>
      <c r="E149" s="237"/>
      <c r="F149" s="237"/>
      <c r="G149" s="237"/>
      <c r="H149" s="237"/>
      <c r="I149" s="237"/>
      <c r="J149" s="237"/>
      <c r="K149" s="237"/>
      <c r="L149" s="237"/>
      <c r="M149" s="237"/>
      <c r="N149" s="237"/>
      <c r="O149" s="237"/>
      <c r="P149" s="237"/>
      <c r="Q149" s="237"/>
      <c r="R149" s="237"/>
      <c r="S149" s="237"/>
      <c r="T149" s="237"/>
      <c r="U149" s="237"/>
      <c r="V149" s="237"/>
      <c r="W149" s="237"/>
    </row>
    <row r="150" spans="2:23" ht="12.75" customHeight="1">
      <c r="B150" s="237"/>
      <c r="C150" s="237"/>
      <c r="D150" s="237"/>
      <c r="E150" s="237"/>
      <c r="F150" s="237"/>
      <c r="G150" s="237"/>
      <c r="H150" s="237"/>
      <c r="I150" s="237"/>
      <c r="J150" s="237"/>
      <c r="K150" s="237"/>
      <c r="L150" s="237"/>
      <c r="M150" s="237"/>
      <c r="N150" s="237"/>
      <c r="O150" s="237"/>
      <c r="P150" s="237"/>
      <c r="Q150" s="237"/>
      <c r="R150" s="237"/>
      <c r="S150" s="237"/>
      <c r="T150" s="237"/>
      <c r="U150" s="237"/>
      <c r="V150" s="237"/>
      <c r="W150" s="237"/>
    </row>
    <row r="151" spans="2:23" ht="12.75" customHeight="1">
      <c r="B151" s="237"/>
      <c r="C151" s="237"/>
      <c r="D151" s="237"/>
      <c r="E151" s="237"/>
      <c r="F151" s="237"/>
      <c r="G151" s="237"/>
      <c r="H151" s="237"/>
      <c r="I151" s="237"/>
      <c r="J151" s="237"/>
      <c r="K151" s="237"/>
      <c r="L151" s="237"/>
      <c r="M151" s="237"/>
      <c r="N151" s="237"/>
      <c r="O151" s="237"/>
      <c r="P151" s="237"/>
      <c r="Q151" s="237"/>
      <c r="R151" s="237"/>
      <c r="S151" s="237"/>
      <c r="T151" s="237"/>
      <c r="U151" s="237"/>
      <c r="V151" s="237"/>
      <c r="W151" s="237"/>
    </row>
    <row r="152" spans="2:23" ht="12.75" customHeight="1">
      <c r="B152" s="237"/>
      <c r="C152" s="237"/>
      <c r="D152" s="237"/>
      <c r="E152" s="237"/>
      <c r="F152" s="237"/>
      <c r="G152" s="237"/>
      <c r="H152" s="237"/>
      <c r="I152" s="237"/>
      <c r="J152" s="237"/>
      <c r="K152" s="237"/>
      <c r="L152" s="237"/>
      <c r="M152" s="237"/>
      <c r="N152" s="237"/>
      <c r="O152" s="237"/>
      <c r="P152" s="237"/>
      <c r="Q152" s="237"/>
      <c r="R152" s="237"/>
      <c r="S152" s="237"/>
      <c r="T152" s="237"/>
      <c r="U152" s="237"/>
      <c r="V152" s="237"/>
      <c r="W152" s="237"/>
    </row>
    <row r="153" spans="2:23" ht="12.75" customHeight="1">
      <c r="B153" s="237"/>
      <c r="C153" s="237"/>
      <c r="D153" s="237"/>
      <c r="E153" s="237"/>
      <c r="F153" s="237"/>
      <c r="G153" s="237"/>
      <c r="H153" s="237"/>
      <c r="I153" s="237"/>
      <c r="J153" s="237"/>
      <c r="K153" s="237"/>
      <c r="L153" s="237"/>
      <c r="M153" s="237"/>
      <c r="N153" s="237"/>
      <c r="O153" s="237"/>
      <c r="P153" s="237"/>
      <c r="Q153" s="237"/>
      <c r="R153" s="237"/>
      <c r="S153" s="237"/>
      <c r="T153" s="237"/>
      <c r="U153" s="237"/>
      <c r="V153" s="237"/>
      <c r="W153" s="237"/>
    </row>
    <row r="154" spans="2:23" ht="12.75" customHeight="1">
      <c r="B154" s="237"/>
      <c r="C154" s="237"/>
      <c r="D154" s="237"/>
      <c r="E154" s="237"/>
      <c r="F154" s="237"/>
      <c r="G154" s="237"/>
      <c r="H154" s="237"/>
      <c r="I154" s="237"/>
      <c r="J154" s="237"/>
      <c r="K154" s="237"/>
      <c r="L154" s="237"/>
      <c r="M154" s="237"/>
      <c r="N154" s="237"/>
      <c r="O154" s="237"/>
      <c r="P154" s="237"/>
      <c r="Q154" s="237"/>
      <c r="R154" s="237"/>
      <c r="S154" s="237"/>
      <c r="T154" s="237"/>
      <c r="U154" s="237"/>
      <c r="V154" s="237"/>
      <c r="W154" s="237"/>
    </row>
    <row r="155" spans="2:23" ht="12.75" customHeight="1">
      <c r="B155" s="237"/>
      <c r="C155" s="237"/>
      <c r="D155" s="237"/>
      <c r="E155" s="237"/>
      <c r="F155" s="237"/>
      <c r="G155" s="237"/>
      <c r="H155" s="237"/>
      <c r="I155" s="237"/>
      <c r="J155" s="237"/>
      <c r="K155" s="237"/>
      <c r="L155" s="237"/>
      <c r="M155" s="237"/>
      <c r="N155" s="237"/>
      <c r="O155" s="237"/>
      <c r="P155" s="237"/>
      <c r="Q155" s="237"/>
      <c r="R155" s="237"/>
      <c r="S155" s="237"/>
      <c r="T155" s="237"/>
      <c r="U155" s="237"/>
      <c r="V155" s="237"/>
      <c r="W155" s="237"/>
    </row>
    <row r="156" spans="2:23" ht="12.75" customHeight="1">
      <c r="B156" s="237"/>
      <c r="C156" s="237"/>
      <c r="D156" s="237"/>
      <c r="E156" s="237"/>
      <c r="F156" s="237"/>
      <c r="G156" s="237"/>
      <c r="H156" s="237"/>
      <c r="I156" s="237"/>
      <c r="J156" s="237"/>
      <c r="K156" s="237"/>
      <c r="L156" s="237"/>
      <c r="M156" s="237"/>
      <c r="N156" s="237"/>
      <c r="O156" s="237"/>
      <c r="P156" s="237"/>
      <c r="Q156" s="237"/>
      <c r="R156" s="237"/>
      <c r="S156" s="237"/>
      <c r="T156" s="237"/>
      <c r="U156" s="237"/>
      <c r="V156" s="237"/>
      <c r="W156" s="237"/>
    </row>
    <row r="157" spans="2:23" ht="12.75" customHeight="1">
      <c r="B157" s="237"/>
      <c r="C157" s="237"/>
      <c r="D157" s="237"/>
      <c r="E157" s="237"/>
      <c r="F157" s="237"/>
      <c r="G157" s="237"/>
      <c r="H157" s="237"/>
      <c r="I157" s="237"/>
      <c r="J157" s="237"/>
      <c r="K157" s="237"/>
      <c r="L157" s="237"/>
      <c r="M157" s="237"/>
      <c r="N157" s="237"/>
      <c r="O157" s="237"/>
      <c r="P157" s="237"/>
      <c r="Q157" s="237"/>
      <c r="R157" s="237"/>
      <c r="S157" s="237"/>
      <c r="T157" s="237"/>
      <c r="U157" s="237"/>
      <c r="V157" s="237"/>
      <c r="W157" s="237"/>
    </row>
    <row r="158" spans="2:23" ht="12.75" customHeight="1">
      <c r="B158" s="237"/>
      <c r="C158" s="237"/>
      <c r="D158" s="237"/>
      <c r="E158" s="237"/>
      <c r="F158" s="237"/>
      <c r="G158" s="237"/>
      <c r="H158" s="237"/>
      <c r="I158" s="237"/>
      <c r="J158" s="237"/>
      <c r="K158" s="237"/>
      <c r="L158" s="237"/>
      <c r="M158" s="237"/>
      <c r="N158" s="237"/>
      <c r="O158" s="237"/>
      <c r="P158" s="237"/>
      <c r="Q158" s="237"/>
      <c r="R158" s="237"/>
      <c r="S158" s="237"/>
      <c r="T158" s="237"/>
      <c r="U158" s="237"/>
      <c r="V158" s="237"/>
      <c r="W158" s="237"/>
    </row>
    <row r="159" spans="2:23" ht="12.75" customHeight="1">
      <c r="B159" s="237"/>
      <c r="C159" s="237"/>
      <c r="D159" s="237"/>
      <c r="E159" s="237"/>
      <c r="F159" s="237"/>
      <c r="G159" s="237"/>
      <c r="H159" s="237"/>
      <c r="I159" s="237"/>
      <c r="J159" s="237"/>
      <c r="K159" s="237"/>
      <c r="L159" s="237"/>
      <c r="M159" s="237"/>
      <c r="N159" s="237"/>
      <c r="O159" s="237"/>
      <c r="P159" s="237"/>
      <c r="Q159" s="237"/>
      <c r="R159" s="237"/>
      <c r="S159" s="237"/>
      <c r="T159" s="237"/>
      <c r="U159" s="237"/>
      <c r="V159" s="237"/>
      <c r="W159" s="237"/>
    </row>
    <row r="160" spans="2:23" ht="12.75" customHeight="1">
      <c r="B160" s="237"/>
      <c r="C160" s="237"/>
      <c r="D160" s="237"/>
      <c r="E160" s="237"/>
      <c r="F160" s="237"/>
      <c r="G160" s="237"/>
      <c r="H160" s="237"/>
      <c r="I160" s="237"/>
      <c r="J160" s="237"/>
      <c r="K160" s="237"/>
      <c r="L160" s="237"/>
      <c r="M160" s="237"/>
      <c r="N160" s="237"/>
      <c r="O160" s="237"/>
      <c r="P160" s="237"/>
      <c r="Q160" s="237"/>
      <c r="R160" s="237"/>
      <c r="S160" s="237"/>
      <c r="T160" s="237"/>
      <c r="U160" s="237"/>
      <c r="V160" s="237"/>
      <c r="W160" s="237"/>
    </row>
    <row r="161" spans="2:23" ht="12.75" customHeight="1">
      <c r="B161" s="237"/>
      <c r="C161" s="237"/>
      <c r="D161" s="237"/>
      <c r="E161" s="237"/>
      <c r="F161" s="237"/>
      <c r="G161" s="237"/>
      <c r="H161" s="237"/>
      <c r="I161" s="237"/>
      <c r="J161" s="237"/>
      <c r="K161" s="237"/>
      <c r="L161" s="237"/>
      <c r="M161" s="237"/>
      <c r="N161" s="237"/>
      <c r="O161" s="237"/>
      <c r="P161" s="237"/>
      <c r="Q161" s="237"/>
      <c r="R161" s="237"/>
      <c r="S161" s="237"/>
      <c r="T161" s="237"/>
      <c r="U161" s="237"/>
      <c r="V161" s="237"/>
      <c r="W161" s="237"/>
    </row>
    <row r="162" spans="2:23" ht="12.75" customHeight="1">
      <c r="B162" s="237"/>
      <c r="C162" s="237"/>
      <c r="D162" s="237"/>
      <c r="E162" s="237"/>
      <c r="F162" s="237"/>
      <c r="G162" s="237"/>
      <c r="H162" s="237"/>
      <c r="I162" s="237"/>
      <c r="J162" s="237"/>
      <c r="K162" s="237"/>
      <c r="L162" s="237"/>
      <c r="M162" s="237"/>
      <c r="N162" s="237"/>
      <c r="O162" s="237"/>
      <c r="P162" s="237"/>
      <c r="Q162" s="237"/>
      <c r="R162" s="237"/>
      <c r="S162" s="237"/>
      <c r="T162" s="237"/>
      <c r="U162" s="237"/>
      <c r="V162" s="237"/>
      <c r="W162" s="237"/>
    </row>
    <row r="163" spans="2:23" ht="12.75" customHeight="1">
      <c r="B163" s="237"/>
      <c r="C163" s="237"/>
      <c r="D163" s="237"/>
      <c r="E163" s="237"/>
      <c r="F163" s="237"/>
      <c r="G163" s="237"/>
      <c r="H163" s="237"/>
      <c r="I163" s="237"/>
      <c r="J163" s="237"/>
      <c r="K163" s="237"/>
      <c r="L163" s="237"/>
      <c r="M163" s="237"/>
      <c r="N163" s="237"/>
      <c r="O163" s="237"/>
      <c r="P163" s="237"/>
      <c r="Q163" s="237"/>
      <c r="R163" s="237"/>
      <c r="S163" s="237"/>
      <c r="T163" s="237"/>
      <c r="U163" s="237"/>
      <c r="V163" s="237"/>
      <c r="W163" s="237"/>
    </row>
    <row r="164" spans="2:23" ht="12.75" customHeight="1">
      <c r="B164" s="237"/>
      <c r="C164" s="237"/>
      <c r="D164" s="237"/>
      <c r="E164" s="237"/>
      <c r="F164" s="237"/>
      <c r="G164" s="237"/>
      <c r="H164" s="237"/>
      <c r="I164" s="237"/>
      <c r="J164" s="237"/>
      <c r="K164" s="237"/>
      <c r="L164" s="237"/>
      <c r="M164" s="237"/>
      <c r="N164" s="237"/>
      <c r="O164" s="237"/>
      <c r="P164" s="237"/>
      <c r="Q164" s="237"/>
      <c r="R164" s="237"/>
      <c r="S164" s="237"/>
      <c r="T164" s="237"/>
      <c r="U164" s="237"/>
      <c r="V164" s="237"/>
      <c r="W164" s="237"/>
    </row>
    <row r="165" spans="2:23" ht="12.75" customHeight="1">
      <c r="B165" s="237"/>
      <c r="C165" s="237"/>
      <c r="D165" s="237"/>
      <c r="E165" s="237"/>
      <c r="F165" s="237"/>
      <c r="G165" s="237"/>
      <c r="H165" s="237"/>
      <c r="I165" s="237"/>
      <c r="J165" s="237"/>
      <c r="K165" s="237"/>
      <c r="L165" s="237"/>
      <c r="M165" s="237"/>
      <c r="N165" s="237"/>
      <c r="O165" s="237"/>
      <c r="P165" s="237"/>
      <c r="Q165" s="237"/>
      <c r="R165" s="237"/>
      <c r="S165" s="237"/>
      <c r="T165" s="237"/>
      <c r="U165" s="237"/>
      <c r="V165" s="237"/>
      <c r="W165" s="237"/>
    </row>
    <row r="166" spans="2:23" ht="12.75" customHeight="1">
      <c r="B166" s="237"/>
      <c r="C166" s="237"/>
      <c r="D166" s="237"/>
      <c r="E166" s="237"/>
      <c r="F166" s="237"/>
      <c r="G166" s="237"/>
      <c r="H166" s="237"/>
      <c r="I166" s="237"/>
      <c r="J166" s="237"/>
      <c r="K166" s="237"/>
      <c r="L166" s="237"/>
      <c r="M166" s="237"/>
      <c r="N166" s="237"/>
      <c r="O166" s="237"/>
      <c r="P166" s="237"/>
      <c r="Q166" s="237"/>
      <c r="R166" s="237"/>
      <c r="S166" s="237"/>
      <c r="T166" s="237"/>
      <c r="U166" s="237"/>
      <c r="V166" s="237"/>
      <c r="W166" s="237"/>
    </row>
    <row r="167" spans="2:23" ht="12.75" customHeight="1">
      <c r="B167" s="237"/>
      <c r="C167" s="237"/>
      <c r="D167" s="237"/>
      <c r="E167" s="237"/>
      <c r="F167" s="237"/>
      <c r="G167" s="237"/>
      <c r="H167" s="237"/>
      <c r="I167" s="237"/>
      <c r="J167" s="237"/>
      <c r="K167" s="237"/>
      <c r="L167" s="237"/>
      <c r="M167" s="237"/>
      <c r="N167" s="237"/>
      <c r="O167" s="237"/>
      <c r="P167" s="237"/>
      <c r="Q167" s="237"/>
      <c r="R167" s="237"/>
      <c r="S167" s="237"/>
      <c r="T167" s="237"/>
      <c r="U167" s="237"/>
      <c r="V167" s="237"/>
      <c r="W167" s="237"/>
    </row>
    <row r="168" spans="2:23" ht="12.75" customHeight="1">
      <c r="B168" s="237"/>
      <c r="C168" s="237"/>
      <c r="D168" s="237"/>
      <c r="E168" s="237"/>
      <c r="F168" s="237"/>
      <c r="G168" s="237"/>
      <c r="H168" s="237"/>
      <c r="I168" s="237"/>
      <c r="J168" s="237"/>
      <c r="K168" s="237"/>
      <c r="L168" s="237"/>
      <c r="M168" s="237"/>
      <c r="N168" s="237"/>
      <c r="O168" s="237"/>
      <c r="P168" s="237"/>
      <c r="Q168" s="237"/>
      <c r="R168" s="237"/>
      <c r="S168" s="237"/>
      <c r="T168" s="237"/>
      <c r="U168" s="237"/>
      <c r="V168" s="237"/>
      <c r="W168" s="237"/>
    </row>
    <row r="169" spans="2:23" ht="12.75" customHeight="1">
      <c r="B169" s="237"/>
      <c r="C169" s="237"/>
      <c r="D169" s="237"/>
      <c r="E169" s="237"/>
      <c r="F169" s="237"/>
      <c r="G169" s="237"/>
      <c r="H169" s="237"/>
      <c r="I169" s="237"/>
      <c r="J169" s="237"/>
      <c r="K169" s="237"/>
      <c r="L169" s="237"/>
      <c r="M169" s="237"/>
      <c r="N169" s="237"/>
      <c r="O169" s="237"/>
      <c r="P169" s="237"/>
      <c r="Q169" s="237"/>
      <c r="R169" s="237"/>
      <c r="S169" s="237"/>
      <c r="T169" s="237"/>
      <c r="U169" s="237"/>
      <c r="V169" s="237"/>
      <c r="W169" s="237"/>
    </row>
    <row r="170" spans="2:23" ht="12.75" customHeight="1">
      <c r="B170" s="237"/>
      <c r="C170" s="237"/>
      <c r="D170" s="237"/>
      <c r="E170" s="237"/>
      <c r="F170" s="237"/>
      <c r="G170" s="237"/>
      <c r="H170" s="237"/>
      <c r="I170" s="237"/>
      <c r="J170" s="237"/>
      <c r="K170" s="237"/>
      <c r="L170" s="237"/>
      <c r="M170" s="237"/>
      <c r="N170" s="237"/>
      <c r="O170" s="237"/>
      <c r="P170" s="237"/>
      <c r="Q170" s="237"/>
      <c r="R170" s="237"/>
      <c r="S170" s="237"/>
      <c r="T170" s="237"/>
      <c r="U170" s="237"/>
      <c r="V170" s="237"/>
      <c r="W170" s="237"/>
    </row>
    <row r="171" spans="2:23" ht="12.75" customHeight="1">
      <c r="B171" s="237"/>
      <c r="C171" s="237"/>
      <c r="D171" s="237"/>
      <c r="E171" s="237"/>
      <c r="F171" s="237"/>
      <c r="G171" s="237"/>
      <c r="H171" s="237"/>
      <c r="I171" s="237"/>
      <c r="J171" s="237"/>
      <c r="K171" s="237"/>
      <c r="L171" s="237"/>
      <c r="M171" s="237"/>
      <c r="N171" s="237"/>
      <c r="O171" s="237"/>
      <c r="P171" s="237"/>
      <c r="Q171" s="237"/>
      <c r="R171" s="237"/>
      <c r="S171" s="237"/>
      <c r="T171" s="237"/>
      <c r="U171" s="237"/>
      <c r="V171" s="237"/>
      <c r="W171" s="237"/>
    </row>
    <row r="172" spans="2:23" ht="12.75" customHeight="1">
      <c r="B172" s="237"/>
      <c r="C172" s="237"/>
      <c r="D172" s="237"/>
      <c r="E172" s="237"/>
      <c r="F172" s="237"/>
      <c r="G172" s="237"/>
      <c r="H172" s="237"/>
      <c r="I172" s="237"/>
      <c r="J172" s="237"/>
      <c r="K172" s="237"/>
      <c r="L172" s="237"/>
      <c r="M172" s="237"/>
      <c r="N172" s="237"/>
      <c r="O172" s="237"/>
      <c r="P172" s="237"/>
      <c r="Q172" s="237"/>
      <c r="R172" s="237"/>
      <c r="S172" s="237"/>
      <c r="T172" s="237"/>
      <c r="U172" s="237"/>
      <c r="V172" s="237"/>
      <c r="W172" s="237"/>
    </row>
    <row r="173" spans="2:23" ht="12.75" customHeight="1">
      <c r="B173" s="237"/>
      <c r="C173" s="237"/>
      <c r="D173" s="237"/>
      <c r="E173" s="237"/>
      <c r="F173" s="237"/>
      <c r="G173" s="237"/>
      <c r="H173" s="237"/>
      <c r="I173" s="237"/>
      <c r="J173" s="237"/>
      <c r="K173" s="237"/>
      <c r="L173" s="237"/>
      <c r="M173" s="237"/>
      <c r="N173" s="237"/>
      <c r="O173" s="237"/>
      <c r="P173" s="237"/>
      <c r="Q173" s="237"/>
      <c r="R173" s="237"/>
      <c r="S173" s="237"/>
      <c r="T173" s="237"/>
      <c r="U173" s="237"/>
      <c r="V173" s="237"/>
      <c r="W173" s="237"/>
    </row>
    <row r="174" spans="2:23" ht="12.75" customHeight="1">
      <c r="B174" s="237"/>
      <c r="C174" s="237"/>
      <c r="D174" s="237"/>
      <c r="E174" s="237"/>
      <c r="F174" s="237"/>
      <c r="G174" s="237"/>
      <c r="H174" s="237"/>
      <c r="I174" s="237"/>
      <c r="J174" s="237"/>
      <c r="K174" s="237"/>
      <c r="L174" s="237"/>
      <c r="M174" s="237"/>
      <c r="N174" s="237"/>
      <c r="O174" s="237"/>
      <c r="P174" s="237"/>
      <c r="Q174" s="237"/>
      <c r="R174" s="237"/>
      <c r="S174" s="237"/>
      <c r="T174" s="237"/>
      <c r="U174" s="237"/>
      <c r="V174" s="237"/>
      <c r="W174" s="237"/>
    </row>
    <row r="175" spans="2:23" ht="12.75" customHeight="1">
      <c r="B175" s="237"/>
      <c r="C175" s="237"/>
      <c r="D175" s="237"/>
      <c r="E175" s="237"/>
      <c r="F175" s="237"/>
      <c r="G175" s="237"/>
      <c r="H175" s="237"/>
      <c r="I175" s="237"/>
      <c r="J175" s="237"/>
      <c r="K175" s="237"/>
      <c r="L175" s="237"/>
      <c r="M175" s="237"/>
      <c r="N175" s="237"/>
      <c r="O175" s="237"/>
      <c r="P175" s="237"/>
      <c r="Q175" s="237"/>
      <c r="R175" s="237"/>
      <c r="S175" s="237"/>
      <c r="T175" s="237"/>
      <c r="U175" s="237"/>
      <c r="V175" s="237"/>
      <c r="W175" s="237"/>
    </row>
    <row r="176" spans="2:23" ht="12.75" customHeight="1">
      <c r="B176" s="237"/>
      <c r="C176" s="237"/>
      <c r="D176" s="237"/>
      <c r="E176" s="237"/>
      <c r="F176" s="237"/>
      <c r="G176" s="237"/>
      <c r="H176" s="237"/>
      <c r="I176" s="237"/>
      <c r="J176" s="237"/>
      <c r="K176" s="237"/>
      <c r="L176" s="237"/>
      <c r="M176" s="237"/>
      <c r="N176" s="237"/>
      <c r="O176" s="237"/>
      <c r="P176" s="237"/>
      <c r="Q176" s="237"/>
      <c r="R176" s="237"/>
      <c r="S176" s="237"/>
      <c r="T176" s="237"/>
      <c r="U176" s="237"/>
      <c r="V176" s="237"/>
      <c r="W176" s="237"/>
    </row>
    <row r="177" spans="2:23" ht="12.75" customHeight="1">
      <c r="B177" s="237"/>
      <c r="C177" s="237"/>
      <c r="D177" s="237"/>
      <c r="E177" s="237"/>
      <c r="F177" s="237"/>
      <c r="G177" s="237"/>
      <c r="H177" s="237"/>
      <c r="I177" s="237"/>
      <c r="J177" s="237"/>
      <c r="K177" s="237"/>
      <c r="L177" s="237"/>
      <c r="M177" s="237"/>
      <c r="N177" s="237"/>
      <c r="O177" s="237"/>
      <c r="P177" s="237"/>
      <c r="Q177" s="237"/>
      <c r="R177" s="237"/>
      <c r="S177" s="237"/>
      <c r="T177" s="237"/>
      <c r="U177" s="237"/>
      <c r="V177" s="237"/>
      <c r="W177" s="237"/>
    </row>
    <row r="178" spans="2:23" ht="12.75" customHeight="1">
      <c r="B178" s="237"/>
      <c r="C178" s="237"/>
      <c r="D178" s="237"/>
      <c r="E178" s="237"/>
      <c r="F178" s="237"/>
      <c r="G178" s="237"/>
      <c r="H178" s="237"/>
      <c r="I178" s="237"/>
      <c r="J178" s="237"/>
      <c r="K178" s="237"/>
      <c r="L178" s="237"/>
      <c r="M178" s="237"/>
      <c r="N178" s="237"/>
      <c r="O178" s="237"/>
      <c r="P178" s="237"/>
      <c r="Q178" s="237"/>
      <c r="R178" s="237"/>
      <c r="S178" s="237"/>
      <c r="T178" s="237"/>
      <c r="U178" s="237"/>
      <c r="V178" s="237"/>
      <c r="W178" s="237"/>
    </row>
    <row r="179" spans="2:23" ht="12.75" customHeight="1">
      <c r="B179" s="237"/>
      <c r="C179" s="237"/>
      <c r="D179" s="237"/>
      <c r="E179" s="237"/>
      <c r="F179" s="237"/>
      <c r="G179" s="237"/>
      <c r="H179" s="237"/>
      <c r="I179" s="237"/>
      <c r="J179" s="237"/>
      <c r="K179" s="237"/>
      <c r="L179" s="237"/>
      <c r="M179" s="237"/>
      <c r="N179" s="237"/>
      <c r="O179" s="237"/>
      <c r="P179" s="237"/>
      <c r="Q179" s="237"/>
      <c r="R179" s="237"/>
      <c r="S179" s="237"/>
      <c r="T179" s="237"/>
      <c r="U179" s="237"/>
      <c r="V179" s="237"/>
      <c r="W179" s="237"/>
    </row>
    <row r="180" spans="2:23" ht="12.75" customHeight="1">
      <c r="B180" s="237"/>
      <c r="C180" s="237"/>
      <c r="D180" s="237"/>
      <c r="E180" s="237"/>
      <c r="F180" s="237"/>
      <c r="G180" s="237"/>
      <c r="H180" s="237"/>
      <c r="I180" s="237"/>
      <c r="J180" s="237"/>
      <c r="K180" s="237"/>
      <c r="L180" s="237"/>
      <c r="M180" s="237"/>
      <c r="N180" s="237"/>
      <c r="O180" s="237"/>
      <c r="P180" s="237"/>
      <c r="Q180" s="237"/>
      <c r="R180" s="237"/>
      <c r="S180" s="237"/>
      <c r="T180" s="237"/>
      <c r="U180" s="237"/>
      <c r="V180" s="237"/>
      <c r="W180" s="237"/>
    </row>
    <row r="181" spans="2:23" ht="12.75" customHeight="1">
      <c r="B181" s="237"/>
      <c r="C181" s="237"/>
      <c r="D181" s="237"/>
      <c r="E181" s="237"/>
      <c r="F181" s="237"/>
      <c r="G181" s="237"/>
      <c r="H181" s="237"/>
      <c r="I181" s="237"/>
      <c r="J181" s="237"/>
      <c r="K181" s="237"/>
      <c r="L181" s="237"/>
      <c r="M181" s="237"/>
      <c r="N181" s="237"/>
      <c r="O181" s="237"/>
      <c r="P181" s="237"/>
      <c r="Q181" s="237"/>
      <c r="R181" s="237"/>
      <c r="S181" s="237"/>
      <c r="T181" s="237"/>
      <c r="U181" s="237"/>
      <c r="V181" s="237"/>
      <c r="W181" s="237"/>
    </row>
    <row r="182" spans="2:23" ht="12.75" customHeight="1">
      <c r="B182" s="237"/>
      <c r="C182" s="237"/>
      <c r="D182" s="237"/>
      <c r="E182" s="237"/>
      <c r="F182" s="237"/>
      <c r="G182" s="237"/>
      <c r="H182" s="237"/>
      <c r="I182" s="237"/>
      <c r="J182" s="237"/>
      <c r="K182" s="237"/>
      <c r="L182" s="237"/>
      <c r="M182" s="237"/>
      <c r="N182" s="237"/>
      <c r="O182" s="237"/>
      <c r="P182" s="237"/>
      <c r="Q182" s="237"/>
      <c r="R182" s="237"/>
      <c r="S182" s="237"/>
      <c r="T182" s="237"/>
      <c r="U182" s="237"/>
      <c r="V182" s="237"/>
      <c r="W182" s="237"/>
    </row>
    <row r="183" spans="2:23" ht="12.75" customHeight="1">
      <c r="B183" s="237"/>
      <c r="C183" s="237"/>
      <c r="D183" s="237"/>
      <c r="E183" s="237"/>
      <c r="F183" s="237"/>
      <c r="G183" s="237"/>
      <c r="H183" s="237"/>
      <c r="I183" s="237"/>
      <c r="J183" s="237"/>
      <c r="K183" s="237"/>
      <c r="L183" s="237"/>
      <c r="M183" s="237"/>
      <c r="N183" s="237"/>
      <c r="O183" s="237"/>
      <c r="P183" s="237"/>
      <c r="Q183" s="237"/>
      <c r="R183" s="237"/>
      <c r="S183" s="237"/>
      <c r="T183" s="237"/>
      <c r="U183" s="237"/>
      <c r="V183" s="237"/>
      <c r="W183" s="237"/>
    </row>
    <row r="184" spans="2:23" ht="12.75" customHeight="1">
      <c r="B184" s="237"/>
      <c r="C184" s="237"/>
      <c r="D184" s="237"/>
      <c r="E184" s="237"/>
      <c r="F184" s="237"/>
      <c r="G184" s="237"/>
      <c r="H184" s="237"/>
      <c r="I184" s="237"/>
      <c r="J184" s="237"/>
      <c r="K184" s="237"/>
      <c r="L184" s="237"/>
      <c r="M184" s="237"/>
      <c r="N184" s="237"/>
      <c r="O184" s="237"/>
      <c r="P184" s="237"/>
      <c r="Q184" s="237"/>
      <c r="R184" s="237"/>
      <c r="S184" s="237"/>
      <c r="T184" s="237"/>
      <c r="U184" s="237"/>
      <c r="V184" s="237"/>
      <c r="W184" s="237"/>
    </row>
    <row r="185" spans="2:23" ht="12.75" customHeight="1">
      <c r="B185" s="237"/>
      <c r="C185" s="237"/>
      <c r="D185" s="237"/>
      <c r="E185" s="237"/>
      <c r="F185" s="237"/>
      <c r="G185" s="237"/>
      <c r="H185" s="237"/>
      <c r="I185" s="237"/>
      <c r="J185" s="237"/>
      <c r="K185" s="237"/>
      <c r="L185" s="237"/>
      <c r="M185" s="237"/>
      <c r="N185" s="237"/>
      <c r="O185" s="237"/>
      <c r="P185" s="237"/>
      <c r="Q185" s="237"/>
      <c r="R185" s="237"/>
      <c r="S185" s="237"/>
      <c r="T185" s="237"/>
      <c r="U185" s="237"/>
      <c r="V185" s="237"/>
      <c r="W185" s="237"/>
    </row>
    <row r="186" spans="2:23" ht="12.75" customHeight="1">
      <c r="B186" s="237"/>
      <c r="C186" s="237"/>
      <c r="D186" s="237"/>
      <c r="E186" s="237"/>
      <c r="F186" s="237"/>
      <c r="G186" s="237"/>
      <c r="H186" s="237"/>
      <c r="I186" s="237"/>
      <c r="J186" s="237"/>
      <c r="K186" s="237"/>
      <c r="L186" s="237"/>
      <c r="M186" s="237"/>
      <c r="N186" s="237"/>
      <c r="O186" s="237"/>
      <c r="P186" s="237"/>
      <c r="Q186" s="237"/>
      <c r="R186" s="237"/>
      <c r="S186" s="237"/>
      <c r="T186" s="237"/>
      <c r="U186" s="237"/>
      <c r="V186" s="237"/>
      <c r="W186" s="237"/>
    </row>
    <row r="187" spans="2:23" ht="12.75" customHeight="1">
      <c r="B187" s="237"/>
      <c r="C187" s="237"/>
      <c r="D187" s="237"/>
      <c r="E187" s="237"/>
      <c r="F187" s="237"/>
      <c r="G187" s="237"/>
      <c r="H187" s="237"/>
      <c r="I187" s="237"/>
      <c r="J187" s="237"/>
      <c r="K187" s="237"/>
      <c r="L187" s="237"/>
      <c r="M187" s="237"/>
      <c r="N187" s="237"/>
      <c r="O187" s="237"/>
      <c r="P187" s="237"/>
      <c r="Q187" s="237"/>
      <c r="R187" s="237"/>
      <c r="S187" s="237"/>
      <c r="T187" s="237"/>
      <c r="U187" s="237"/>
      <c r="V187" s="237"/>
      <c r="W187" s="237"/>
    </row>
    <row r="188" spans="2:23" ht="12.75" customHeight="1">
      <c r="B188" s="237"/>
      <c r="C188" s="237"/>
      <c r="D188" s="237"/>
      <c r="E188" s="237"/>
      <c r="F188" s="237"/>
      <c r="G188" s="237"/>
      <c r="H188" s="237"/>
      <c r="I188" s="237"/>
      <c r="J188" s="237"/>
      <c r="K188" s="237"/>
      <c r="L188" s="237"/>
      <c r="M188" s="237"/>
      <c r="N188" s="237"/>
      <c r="O188" s="237"/>
      <c r="P188" s="237"/>
      <c r="Q188" s="237"/>
      <c r="R188" s="237"/>
      <c r="S188" s="237"/>
      <c r="T188" s="237"/>
      <c r="U188" s="237"/>
      <c r="V188" s="237"/>
      <c r="W188" s="237"/>
    </row>
    <row r="189" spans="2:23" ht="12.75" customHeight="1">
      <c r="B189" s="237"/>
      <c r="C189" s="237"/>
      <c r="D189" s="237"/>
      <c r="E189" s="237"/>
      <c r="F189" s="237"/>
      <c r="G189" s="237"/>
      <c r="H189" s="237"/>
      <c r="I189" s="237"/>
      <c r="J189" s="237"/>
      <c r="K189" s="237"/>
      <c r="L189" s="237"/>
      <c r="M189" s="237"/>
      <c r="N189" s="237"/>
      <c r="O189" s="237"/>
      <c r="P189" s="237"/>
      <c r="Q189" s="237"/>
      <c r="R189" s="237"/>
      <c r="S189" s="237"/>
      <c r="T189" s="237"/>
      <c r="U189" s="237"/>
      <c r="V189" s="237"/>
      <c r="W189" s="237"/>
    </row>
    <row r="190" spans="2:23" ht="12.75" customHeight="1">
      <c r="B190" s="237"/>
      <c r="C190" s="237"/>
      <c r="D190" s="237"/>
      <c r="E190" s="237"/>
      <c r="F190" s="237"/>
      <c r="G190" s="237"/>
      <c r="H190" s="237"/>
      <c r="I190" s="237"/>
      <c r="J190" s="237"/>
      <c r="K190" s="237"/>
      <c r="L190" s="237"/>
      <c r="M190" s="237"/>
      <c r="N190" s="237"/>
      <c r="O190" s="237"/>
      <c r="P190" s="237"/>
      <c r="Q190" s="237"/>
      <c r="R190" s="237"/>
      <c r="S190" s="237"/>
      <c r="T190" s="237"/>
      <c r="U190" s="237"/>
      <c r="V190" s="237"/>
      <c r="W190" s="237"/>
    </row>
    <row r="191" spans="2:23" ht="12.75" customHeight="1">
      <c r="B191" s="237"/>
      <c r="C191" s="237"/>
      <c r="D191" s="237"/>
      <c r="E191" s="237"/>
      <c r="F191" s="237"/>
      <c r="G191" s="237"/>
      <c r="H191" s="237"/>
      <c r="I191" s="237"/>
      <c r="J191" s="237"/>
      <c r="K191" s="237"/>
      <c r="L191" s="237"/>
      <c r="M191" s="237"/>
      <c r="N191" s="237"/>
      <c r="O191" s="237"/>
      <c r="P191" s="237"/>
      <c r="Q191" s="237"/>
      <c r="R191" s="237"/>
      <c r="S191" s="237"/>
      <c r="T191" s="237"/>
      <c r="U191" s="237"/>
      <c r="V191" s="237"/>
      <c r="W191" s="237"/>
    </row>
    <row r="192" spans="2:23" ht="12.75" customHeight="1">
      <c r="B192" s="237"/>
      <c r="C192" s="237"/>
      <c r="D192" s="237"/>
      <c r="E192" s="237"/>
      <c r="F192" s="237"/>
      <c r="G192" s="237"/>
      <c r="H192" s="237"/>
      <c r="I192" s="237"/>
      <c r="J192" s="237"/>
      <c r="K192" s="237"/>
      <c r="L192" s="237"/>
      <c r="M192" s="237"/>
      <c r="N192" s="237"/>
      <c r="O192" s="237"/>
      <c r="P192" s="237"/>
      <c r="Q192" s="237"/>
      <c r="R192" s="237"/>
      <c r="S192" s="237"/>
      <c r="T192" s="237"/>
      <c r="U192" s="237"/>
      <c r="V192" s="237"/>
      <c r="W192" s="237"/>
    </row>
    <row r="193" spans="2:23" ht="12.75" customHeight="1">
      <c r="B193" s="237"/>
      <c r="C193" s="237"/>
      <c r="D193" s="237"/>
      <c r="E193" s="237"/>
      <c r="F193" s="237"/>
      <c r="G193" s="237"/>
      <c r="H193" s="237"/>
      <c r="I193" s="237"/>
      <c r="J193" s="237"/>
      <c r="K193" s="237"/>
      <c r="L193" s="237"/>
      <c r="M193" s="237"/>
      <c r="N193" s="237"/>
      <c r="O193" s="237"/>
      <c r="P193" s="237"/>
      <c r="Q193" s="237"/>
      <c r="R193" s="237"/>
      <c r="S193" s="237"/>
      <c r="T193" s="237"/>
      <c r="U193" s="237"/>
      <c r="V193" s="237"/>
      <c r="W193" s="237"/>
    </row>
    <row r="194" spans="2:23" ht="12.75" customHeight="1">
      <c r="B194" s="237"/>
      <c r="C194" s="237"/>
      <c r="D194" s="237"/>
      <c r="E194" s="237"/>
      <c r="F194" s="237"/>
      <c r="G194" s="237"/>
      <c r="H194" s="237"/>
      <c r="I194" s="237"/>
      <c r="J194" s="237"/>
      <c r="K194" s="237"/>
      <c r="L194" s="237"/>
      <c r="M194" s="237"/>
      <c r="N194" s="237"/>
      <c r="O194" s="237"/>
      <c r="P194" s="237"/>
      <c r="Q194" s="237"/>
      <c r="R194" s="237"/>
      <c r="S194" s="237"/>
      <c r="T194" s="237"/>
      <c r="U194" s="237"/>
      <c r="V194" s="237"/>
      <c r="W194" s="237"/>
    </row>
    <row r="195" spans="2:23" ht="12.75" customHeight="1">
      <c r="B195" s="237"/>
      <c r="C195" s="237"/>
      <c r="D195" s="237"/>
      <c r="E195" s="237"/>
      <c r="F195" s="237"/>
      <c r="G195" s="237"/>
      <c r="H195" s="237"/>
      <c r="I195" s="237"/>
      <c r="J195" s="237"/>
      <c r="K195" s="237"/>
      <c r="L195" s="237"/>
      <c r="M195" s="237"/>
      <c r="N195" s="237"/>
      <c r="O195" s="237"/>
      <c r="P195" s="237"/>
      <c r="Q195" s="237"/>
      <c r="R195" s="237"/>
      <c r="S195" s="237"/>
      <c r="T195" s="237"/>
      <c r="U195" s="237"/>
      <c r="V195" s="237"/>
      <c r="W195" s="237"/>
    </row>
    <row r="196" spans="2:23" ht="12.75" customHeight="1">
      <c r="B196" s="237"/>
      <c r="C196" s="237"/>
      <c r="D196" s="237"/>
      <c r="E196" s="237"/>
      <c r="F196" s="237"/>
      <c r="G196" s="237"/>
      <c r="H196" s="237"/>
      <c r="I196" s="237"/>
      <c r="J196" s="237"/>
      <c r="K196" s="237"/>
      <c r="L196" s="237"/>
      <c r="M196" s="237"/>
      <c r="N196" s="237"/>
      <c r="O196" s="237"/>
      <c r="P196" s="237"/>
      <c r="Q196" s="237"/>
      <c r="R196" s="237"/>
      <c r="S196" s="237"/>
      <c r="T196" s="237"/>
      <c r="U196" s="237"/>
      <c r="V196" s="237"/>
      <c r="W196" s="237"/>
    </row>
    <row r="197" spans="2:23" ht="12.75" customHeight="1">
      <c r="B197" s="237"/>
      <c r="C197" s="237"/>
      <c r="D197" s="237"/>
      <c r="E197" s="237"/>
      <c r="F197" s="237"/>
      <c r="G197" s="237"/>
      <c r="H197" s="237"/>
      <c r="I197" s="237"/>
      <c r="J197" s="237"/>
      <c r="K197" s="237"/>
      <c r="L197" s="237"/>
      <c r="M197" s="237"/>
      <c r="N197" s="237"/>
      <c r="O197" s="237"/>
      <c r="P197" s="237"/>
      <c r="Q197" s="237"/>
      <c r="R197" s="237"/>
      <c r="S197" s="237"/>
      <c r="T197" s="237"/>
      <c r="U197" s="237"/>
      <c r="V197" s="237"/>
      <c r="W197" s="237"/>
    </row>
    <row r="198" spans="2:23" ht="12.75" customHeight="1">
      <c r="B198" s="237"/>
      <c r="C198" s="237"/>
      <c r="D198" s="237"/>
      <c r="E198" s="237"/>
      <c r="F198" s="237"/>
      <c r="G198" s="237"/>
      <c r="H198" s="237"/>
      <c r="I198" s="237"/>
      <c r="J198" s="237"/>
      <c r="K198" s="237"/>
      <c r="L198" s="237"/>
      <c r="M198" s="237"/>
      <c r="N198" s="237"/>
      <c r="O198" s="237"/>
      <c r="P198" s="237"/>
      <c r="Q198" s="237"/>
      <c r="R198" s="237"/>
      <c r="S198" s="237"/>
      <c r="T198" s="237"/>
      <c r="U198" s="237"/>
      <c r="V198" s="237"/>
      <c r="W198" s="237"/>
    </row>
    <row r="199" spans="2:23" ht="12.75" customHeight="1">
      <c r="B199" s="237"/>
      <c r="C199" s="237"/>
      <c r="D199" s="237"/>
      <c r="E199" s="237"/>
      <c r="F199" s="237"/>
      <c r="G199" s="237"/>
      <c r="H199" s="237"/>
      <c r="I199" s="237"/>
      <c r="J199" s="237"/>
      <c r="K199" s="237"/>
      <c r="L199" s="237"/>
      <c r="M199" s="237"/>
      <c r="N199" s="237"/>
      <c r="O199" s="237"/>
      <c r="P199" s="237"/>
      <c r="Q199" s="237"/>
      <c r="R199" s="237"/>
      <c r="S199" s="237"/>
      <c r="T199" s="237"/>
      <c r="U199" s="237"/>
      <c r="V199" s="237"/>
      <c r="W199" s="237"/>
    </row>
    <row r="200" spans="2:23" ht="12.75" customHeight="1">
      <c r="B200" s="237"/>
      <c r="C200" s="237"/>
      <c r="D200" s="237"/>
      <c r="E200" s="237"/>
      <c r="F200" s="237"/>
      <c r="G200" s="237"/>
      <c r="H200" s="237"/>
      <c r="I200" s="237"/>
      <c r="J200" s="237"/>
      <c r="K200" s="237"/>
      <c r="L200" s="237"/>
      <c r="M200" s="237"/>
      <c r="N200" s="237"/>
      <c r="O200" s="237"/>
      <c r="P200" s="237"/>
      <c r="Q200" s="237"/>
      <c r="R200" s="237"/>
      <c r="S200" s="237"/>
      <c r="T200" s="237"/>
      <c r="U200" s="237"/>
      <c r="V200" s="237"/>
      <c r="W200" s="237"/>
    </row>
    <row r="201" spans="2:23" ht="12.75" customHeight="1">
      <c r="B201" s="237"/>
      <c r="C201" s="237"/>
      <c r="D201" s="237"/>
      <c r="E201" s="237"/>
      <c r="F201" s="237"/>
      <c r="G201" s="237"/>
      <c r="H201" s="237"/>
      <c r="I201" s="237"/>
      <c r="J201" s="237"/>
      <c r="K201" s="237"/>
      <c r="L201" s="237"/>
      <c r="M201" s="237"/>
      <c r="N201" s="237"/>
      <c r="O201" s="237"/>
      <c r="P201" s="237"/>
      <c r="Q201" s="237"/>
      <c r="R201" s="237"/>
      <c r="S201" s="237"/>
      <c r="T201" s="237"/>
      <c r="U201" s="237"/>
      <c r="V201" s="237"/>
      <c r="W201" s="237"/>
    </row>
    <row r="202" spans="2:23" ht="12.75" customHeight="1">
      <c r="B202" s="237"/>
      <c r="C202" s="237"/>
      <c r="D202" s="237"/>
      <c r="E202" s="237"/>
      <c r="F202" s="237"/>
      <c r="G202" s="237"/>
      <c r="H202" s="237"/>
      <c r="I202" s="237"/>
      <c r="J202" s="237"/>
      <c r="K202" s="237"/>
      <c r="L202" s="237"/>
      <c r="M202" s="237"/>
      <c r="N202" s="237"/>
      <c r="O202" s="237"/>
      <c r="P202" s="237"/>
      <c r="Q202" s="237"/>
      <c r="R202" s="237"/>
      <c r="S202" s="237"/>
      <c r="T202" s="237"/>
      <c r="U202" s="237"/>
      <c r="V202" s="237"/>
      <c r="W202" s="237"/>
    </row>
    <row r="203" spans="2:23" ht="12.75" customHeight="1">
      <c r="B203" s="237"/>
      <c r="C203" s="237"/>
      <c r="D203" s="237"/>
      <c r="E203" s="237"/>
      <c r="F203" s="237"/>
      <c r="G203" s="237"/>
      <c r="H203" s="237"/>
      <c r="I203" s="237"/>
      <c r="J203" s="237"/>
      <c r="K203" s="237"/>
      <c r="L203" s="237"/>
      <c r="M203" s="237"/>
      <c r="N203" s="237"/>
      <c r="O203" s="237"/>
      <c r="P203" s="237"/>
      <c r="Q203" s="237"/>
      <c r="R203" s="237"/>
      <c r="S203" s="237"/>
      <c r="T203" s="237"/>
      <c r="U203" s="237"/>
      <c r="V203" s="237"/>
      <c r="W203" s="237"/>
    </row>
    <row r="204" spans="2:23" ht="12.75" customHeight="1">
      <c r="B204" s="237"/>
      <c r="C204" s="237"/>
      <c r="D204" s="237"/>
      <c r="E204" s="237"/>
      <c r="F204" s="237"/>
      <c r="G204" s="237"/>
      <c r="H204" s="237"/>
      <c r="I204" s="237"/>
      <c r="J204" s="237"/>
      <c r="K204" s="237"/>
      <c r="L204" s="237"/>
      <c r="M204" s="237"/>
      <c r="N204" s="237"/>
      <c r="O204" s="237"/>
      <c r="P204" s="237"/>
      <c r="Q204" s="237"/>
      <c r="R204" s="237"/>
      <c r="S204" s="237"/>
      <c r="T204" s="237"/>
      <c r="U204" s="237"/>
      <c r="V204" s="237"/>
      <c r="W204" s="237"/>
    </row>
    <row r="205" spans="2:23" ht="12.75" customHeight="1">
      <c r="B205" s="237"/>
      <c r="C205" s="237"/>
      <c r="D205" s="237"/>
      <c r="E205" s="237"/>
      <c r="F205" s="237"/>
      <c r="G205" s="237"/>
      <c r="H205" s="237"/>
      <c r="I205" s="237"/>
      <c r="J205" s="237"/>
      <c r="K205" s="237"/>
      <c r="L205" s="237"/>
      <c r="M205" s="237"/>
      <c r="N205" s="237"/>
      <c r="O205" s="237"/>
      <c r="P205" s="237"/>
      <c r="Q205" s="237"/>
      <c r="R205" s="237"/>
      <c r="S205" s="237"/>
      <c r="T205" s="237"/>
      <c r="U205" s="237"/>
      <c r="V205" s="237"/>
      <c r="W205" s="237"/>
    </row>
    <row r="206" spans="2:23" ht="12.75" customHeight="1">
      <c r="B206" s="237"/>
      <c r="C206" s="237"/>
      <c r="D206" s="237"/>
      <c r="E206" s="237"/>
      <c r="F206" s="237"/>
      <c r="G206" s="237"/>
      <c r="H206" s="237"/>
      <c r="I206" s="237"/>
      <c r="J206" s="237"/>
      <c r="K206" s="237"/>
      <c r="L206" s="237"/>
      <c r="M206" s="237"/>
      <c r="N206" s="237"/>
      <c r="O206" s="237"/>
      <c r="P206" s="237"/>
      <c r="Q206" s="237"/>
      <c r="R206" s="237"/>
      <c r="S206" s="237"/>
      <c r="T206" s="237"/>
      <c r="U206" s="237"/>
      <c r="V206" s="237"/>
      <c r="W206" s="237"/>
    </row>
    <row r="207" spans="2:23" ht="12.75" customHeight="1">
      <c r="B207" s="237"/>
      <c r="C207" s="237"/>
      <c r="D207" s="237"/>
      <c r="E207" s="237"/>
      <c r="F207" s="237"/>
      <c r="G207" s="237"/>
      <c r="H207" s="237"/>
      <c r="I207" s="237"/>
      <c r="J207" s="237"/>
      <c r="K207" s="237"/>
      <c r="L207" s="237"/>
      <c r="M207" s="237"/>
      <c r="N207" s="237"/>
      <c r="O207" s="237"/>
      <c r="P207" s="237"/>
      <c r="Q207" s="237"/>
      <c r="R207" s="237"/>
      <c r="S207" s="237"/>
      <c r="T207" s="237"/>
      <c r="U207" s="237"/>
      <c r="V207" s="237"/>
      <c r="W207" s="237"/>
    </row>
    <row r="208" spans="2:23" ht="12.75" customHeight="1">
      <c r="B208" s="237"/>
      <c r="C208" s="237"/>
      <c r="D208" s="237"/>
      <c r="E208" s="237"/>
      <c r="F208" s="237"/>
      <c r="G208" s="237"/>
      <c r="H208" s="237"/>
      <c r="I208" s="237"/>
      <c r="J208" s="237"/>
      <c r="K208" s="237"/>
      <c r="L208" s="237"/>
      <c r="M208" s="237"/>
      <c r="N208" s="237"/>
      <c r="O208" s="237"/>
      <c r="P208" s="237"/>
      <c r="Q208" s="237"/>
      <c r="R208" s="237"/>
      <c r="S208" s="237"/>
      <c r="T208" s="237"/>
      <c r="U208" s="237"/>
      <c r="V208" s="237"/>
      <c r="W208" s="237"/>
    </row>
    <row r="209" spans="2:23" ht="12.75" customHeight="1">
      <c r="B209" s="237"/>
      <c r="C209" s="237"/>
      <c r="D209" s="237"/>
      <c r="E209" s="237"/>
      <c r="F209" s="237"/>
      <c r="G209" s="237"/>
      <c r="H209" s="237"/>
      <c r="I209" s="237"/>
      <c r="J209" s="237"/>
      <c r="K209" s="237"/>
      <c r="L209" s="237"/>
      <c r="M209" s="237"/>
      <c r="N209" s="237"/>
      <c r="O209" s="237"/>
      <c r="P209" s="237"/>
      <c r="Q209" s="237"/>
      <c r="R209" s="237"/>
      <c r="S209" s="237"/>
      <c r="T209" s="237"/>
      <c r="U209" s="237"/>
      <c r="V209" s="237"/>
      <c r="W209" s="237"/>
    </row>
    <row r="210" spans="2:23" ht="12.75" customHeight="1">
      <c r="B210" s="237"/>
      <c r="C210" s="237"/>
      <c r="D210" s="237"/>
      <c r="E210" s="237"/>
      <c r="F210" s="237"/>
      <c r="G210" s="237"/>
      <c r="H210" s="237"/>
      <c r="I210" s="237"/>
      <c r="J210" s="237"/>
      <c r="K210" s="237"/>
      <c r="L210" s="237"/>
      <c r="M210" s="237"/>
      <c r="N210" s="237"/>
      <c r="O210" s="237"/>
      <c r="P210" s="237"/>
      <c r="Q210" s="237"/>
      <c r="R210" s="237"/>
      <c r="S210" s="237"/>
      <c r="T210" s="237"/>
      <c r="U210" s="237"/>
      <c r="V210" s="237"/>
      <c r="W210" s="237"/>
    </row>
    <row r="211" spans="2:23" ht="12.75" customHeight="1">
      <c r="B211" s="237"/>
      <c r="C211" s="237"/>
      <c r="D211" s="237"/>
      <c r="E211" s="237"/>
      <c r="F211" s="237"/>
      <c r="G211" s="237"/>
      <c r="H211" s="237"/>
      <c r="I211" s="237"/>
      <c r="J211" s="237"/>
      <c r="K211" s="237"/>
      <c r="L211" s="237"/>
      <c r="M211" s="237"/>
      <c r="N211" s="237"/>
      <c r="O211" s="237"/>
      <c r="P211" s="237"/>
      <c r="Q211" s="237"/>
      <c r="R211" s="237"/>
      <c r="S211" s="237"/>
      <c r="T211" s="237"/>
      <c r="U211" s="237"/>
      <c r="V211" s="237"/>
      <c r="W211" s="237"/>
    </row>
    <row r="212" spans="2:23" ht="12.75" customHeight="1">
      <c r="B212" s="237"/>
      <c r="C212" s="237"/>
      <c r="D212" s="237"/>
      <c r="E212" s="237"/>
      <c r="F212" s="237"/>
      <c r="G212" s="237"/>
      <c r="H212" s="237"/>
      <c r="I212" s="237"/>
      <c r="J212" s="237"/>
      <c r="K212" s="237"/>
      <c r="L212" s="237"/>
      <c r="M212" s="237"/>
      <c r="N212" s="237"/>
      <c r="O212" s="237"/>
      <c r="P212" s="237"/>
      <c r="Q212" s="237"/>
      <c r="R212" s="237"/>
      <c r="S212" s="237"/>
      <c r="T212" s="237"/>
      <c r="U212" s="237"/>
      <c r="V212" s="237"/>
      <c r="W212" s="237"/>
    </row>
    <row r="213" spans="2:23" ht="12.75" customHeight="1">
      <c r="B213" s="237"/>
      <c r="C213" s="237"/>
      <c r="D213" s="237"/>
      <c r="E213" s="237"/>
      <c r="F213" s="237"/>
      <c r="G213" s="237"/>
      <c r="H213" s="237"/>
      <c r="I213" s="237"/>
      <c r="J213" s="237"/>
      <c r="K213" s="237"/>
      <c r="L213" s="237"/>
      <c r="M213" s="237"/>
      <c r="N213" s="237"/>
      <c r="O213" s="237"/>
      <c r="P213" s="237"/>
      <c r="Q213" s="237"/>
      <c r="R213" s="237"/>
      <c r="S213" s="237"/>
      <c r="T213" s="237"/>
      <c r="U213" s="237"/>
      <c r="V213" s="237"/>
      <c r="W213" s="237"/>
    </row>
    <row r="214" spans="2:23" ht="12.75" customHeight="1">
      <c r="B214" s="237"/>
      <c r="C214" s="237"/>
      <c r="D214" s="237"/>
      <c r="E214" s="237"/>
      <c r="F214" s="237"/>
      <c r="G214" s="237"/>
      <c r="H214" s="237"/>
      <c r="I214" s="237"/>
      <c r="J214" s="237"/>
      <c r="K214" s="237"/>
      <c r="L214" s="237"/>
      <c r="M214" s="237"/>
      <c r="N214" s="237"/>
      <c r="O214" s="237"/>
      <c r="P214" s="237"/>
      <c r="Q214" s="237"/>
      <c r="R214" s="237"/>
      <c r="S214" s="237"/>
      <c r="T214" s="237"/>
      <c r="U214" s="237"/>
      <c r="V214" s="237"/>
      <c r="W214" s="237"/>
    </row>
    <row r="215" spans="2:23" ht="12.75" customHeight="1">
      <c r="B215" s="237"/>
      <c r="C215" s="237"/>
      <c r="D215" s="237"/>
      <c r="E215" s="237"/>
      <c r="F215" s="237"/>
      <c r="G215" s="237"/>
      <c r="H215" s="237"/>
      <c r="I215" s="237"/>
      <c r="J215" s="237"/>
      <c r="K215" s="237"/>
      <c r="L215" s="237"/>
      <c r="M215" s="237"/>
      <c r="N215" s="237"/>
      <c r="O215" s="237"/>
      <c r="P215" s="237"/>
      <c r="Q215" s="237"/>
      <c r="R215" s="237"/>
      <c r="S215" s="237"/>
      <c r="T215" s="237"/>
      <c r="U215" s="237"/>
      <c r="V215" s="237"/>
      <c r="W215" s="237"/>
    </row>
    <row r="216" spans="2:23" ht="12.75" customHeight="1">
      <c r="B216" s="237"/>
      <c r="C216" s="237"/>
      <c r="D216" s="237"/>
      <c r="E216" s="237"/>
      <c r="F216" s="237"/>
      <c r="G216" s="237"/>
      <c r="H216" s="237"/>
      <c r="I216" s="237"/>
      <c r="J216" s="237"/>
      <c r="K216" s="237"/>
      <c r="L216" s="237"/>
      <c r="M216" s="237"/>
      <c r="N216" s="237"/>
      <c r="O216" s="237"/>
      <c r="P216" s="237"/>
      <c r="Q216" s="237"/>
      <c r="R216" s="237"/>
      <c r="S216" s="237"/>
      <c r="T216" s="237"/>
      <c r="U216" s="237"/>
      <c r="V216" s="237"/>
      <c r="W216" s="237"/>
    </row>
    <row r="217" spans="2:23" ht="12.75" customHeight="1">
      <c r="B217" s="237"/>
      <c r="C217" s="237"/>
      <c r="D217" s="237"/>
      <c r="E217" s="237"/>
      <c r="F217" s="237"/>
      <c r="G217" s="237"/>
      <c r="H217" s="237"/>
      <c r="I217" s="237"/>
      <c r="J217" s="237"/>
      <c r="K217" s="237"/>
      <c r="L217" s="237"/>
      <c r="M217" s="237"/>
      <c r="N217" s="237"/>
      <c r="O217" s="237"/>
      <c r="P217" s="237"/>
      <c r="Q217" s="237"/>
      <c r="R217" s="237"/>
      <c r="S217" s="237"/>
      <c r="T217" s="237"/>
      <c r="U217" s="237"/>
      <c r="V217" s="237"/>
      <c r="W217" s="237"/>
    </row>
    <row r="218" spans="2:23" ht="12.75" customHeight="1">
      <c r="B218" s="237"/>
      <c r="C218" s="237"/>
      <c r="D218" s="237"/>
      <c r="E218" s="237"/>
      <c r="F218" s="237"/>
      <c r="G218" s="237"/>
      <c r="H218" s="237"/>
      <c r="I218" s="237"/>
      <c r="J218" s="237"/>
      <c r="K218" s="237"/>
      <c r="L218" s="237"/>
      <c r="M218" s="237"/>
      <c r="N218" s="237"/>
      <c r="O218" s="237"/>
      <c r="P218" s="237"/>
      <c r="Q218" s="237"/>
      <c r="R218" s="237"/>
      <c r="S218" s="237"/>
      <c r="T218" s="237"/>
      <c r="U218" s="237"/>
      <c r="V218" s="237"/>
      <c r="W218" s="237"/>
    </row>
    <row r="219" spans="2:23" ht="12.75" customHeight="1">
      <c r="B219" s="237"/>
      <c r="C219" s="237"/>
      <c r="D219" s="237"/>
      <c r="E219" s="237"/>
      <c r="F219" s="237"/>
      <c r="G219" s="237"/>
      <c r="H219" s="237"/>
      <c r="I219" s="237"/>
      <c r="J219" s="237"/>
      <c r="K219" s="237"/>
      <c r="L219" s="237"/>
      <c r="M219" s="237"/>
      <c r="N219" s="237"/>
      <c r="O219" s="237"/>
      <c r="P219" s="237"/>
      <c r="Q219" s="237"/>
      <c r="R219" s="237"/>
      <c r="S219" s="237"/>
      <c r="T219" s="237"/>
      <c r="U219" s="237"/>
      <c r="V219" s="237"/>
      <c r="W219" s="237"/>
    </row>
    <row r="220" spans="2:23" ht="12.75" customHeight="1">
      <c r="B220" s="237"/>
      <c r="C220" s="237"/>
      <c r="D220" s="237"/>
      <c r="E220" s="237"/>
      <c r="F220" s="237"/>
      <c r="G220" s="237"/>
      <c r="H220" s="237"/>
      <c r="I220" s="237"/>
      <c r="J220" s="237"/>
      <c r="K220" s="237"/>
      <c r="L220" s="237"/>
      <c r="M220" s="237"/>
      <c r="N220" s="237"/>
      <c r="O220" s="237"/>
      <c r="P220" s="237"/>
      <c r="Q220" s="237"/>
      <c r="R220" s="237"/>
      <c r="S220" s="237"/>
      <c r="T220" s="237"/>
      <c r="U220" s="237"/>
      <c r="V220" s="237"/>
      <c r="W220" s="237"/>
    </row>
    <row r="221" spans="2:23" ht="12.75" customHeight="1">
      <c r="B221" s="237"/>
      <c r="C221" s="237"/>
      <c r="D221" s="237"/>
      <c r="E221" s="237"/>
      <c r="F221" s="237"/>
      <c r="G221" s="237"/>
      <c r="H221" s="237"/>
      <c r="I221" s="237"/>
      <c r="J221" s="237"/>
      <c r="K221" s="237"/>
      <c r="L221" s="237"/>
      <c r="M221" s="237"/>
      <c r="N221" s="237"/>
      <c r="O221" s="237"/>
      <c r="P221" s="237"/>
      <c r="Q221" s="237"/>
      <c r="R221" s="237"/>
      <c r="S221" s="237"/>
      <c r="T221" s="237"/>
      <c r="U221" s="237"/>
      <c r="V221" s="237"/>
      <c r="W221" s="237"/>
    </row>
    <row r="222" spans="2:23" ht="12.75" customHeight="1">
      <c r="B222" s="237"/>
      <c r="C222" s="237"/>
      <c r="D222" s="237"/>
      <c r="E222" s="237"/>
      <c r="F222" s="237"/>
      <c r="G222" s="237"/>
      <c r="H222" s="237"/>
      <c r="I222" s="237"/>
      <c r="J222" s="237"/>
      <c r="K222" s="237"/>
      <c r="L222" s="237"/>
      <c r="M222" s="237"/>
      <c r="N222" s="237"/>
      <c r="O222" s="237"/>
      <c r="P222" s="237"/>
      <c r="Q222" s="237"/>
      <c r="R222" s="237"/>
      <c r="S222" s="237"/>
      <c r="T222" s="237"/>
      <c r="U222" s="237"/>
      <c r="V222" s="237"/>
      <c r="W222" s="237"/>
    </row>
    <row r="223" spans="2:23" ht="12.75" customHeight="1">
      <c r="B223" s="237"/>
      <c r="C223" s="237"/>
      <c r="D223" s="237"/>
      <c r="E223" s="237"/>
      <c r="F223" s="237"/>
      <c r="G223" s="237"/>
      <c r="H223" s="237"/>
      <c r="I223" s="237"/>
      <c r="J223" s="237"/>
      <c r="K223" s="237"/>
      <c r="L223" s="237"/>
      <c r="M223" s="237"/>
      <c r="N223" s="237"/>
      <c r="O223" s="237"/>
      <c r="P223" s="237"/>
      <c r="Q223" s="237"/>
      <c r="R223" s="237"/>
      <c r="S223" s="237"/>
      <c r="T223" s="237"/>
      <c r="U223" s="237"/>
      <c r="V223" s="237"/>
      <c r="W223" s="237"/>
    </row>
    <row r="224" spans="2:23" ht="12.75" customHeight="1">
      <c r="B224" s="237"/>
      <c r="C224" s="237"/>
      <c r="D224" s="237"/>
      <c r="E224" s="237"/>
      <c r="F224" s="237"/>
      <c r="G224" s="237"/>
      <c r="H224" s="237"/>
      <c r="I224" s="237"/>
      <c r="J224" s="237"/>
      <c r="K224" s="237"/>
      <c r="L224" s="237"/>
      <c r="M224" s="237"/>
      <c r="N224" s="237"/>
      <c r="O224" s="237"/>
      <c r="P224" s="237"/>
      <c r="Q224" s="237"/>
      <c r="R224" s="237"/>
      <c r="S224" s="237"/>
      <c r="T224" s="237"/>
      <c r="U224" s="237"/>
      <c r="V224" s="237"/>
      <c r="W224" s="237"/>
    </row>
    <row r="225" spans="2:23" ht="12.75" customHeight="1">
      <c r="B225" s="237"/>
      <c r="C225" s="237"/>
      <c r="D225" s="237"/>
      <c r="E225" s="237"/>
      <c r="F225" s="237"/>
      <c r="G225" s="237"/>
      <c r="H225" s="237"/>
      <c r="I225" s="237"/>
      <c r="J225" s="237"/>
      <c r="K225" s="237"/>
      <c r="L225" s="237"/>
      <c r="M225" s="237"/>
      <c r="N225" s="237"/>
      <c r="O225" s="237"/>
      <c r="P225" s="237"/>
      <c r="Q225" s="237"/>
      <c r="R225" s="237"/>
      <c r="S225" s="237"/>
      <c r="T225" s="237"/>
      <c r="U225" s="237"/>
      <c r="V225" s="237"/>
      <c r="W225" s="237"/>
    </row>
    <row r="226" spans="2:23" ht="12.75" customHeight="1">
      <c r="B226" s="237"/>
      <c r="C226" s="237"/>
      <c r="D226" s="237"/>
      <c r="E226" s="237"/>
      <c r="F226" s="237"/>
      <c r="G226" s="237"/>
      <c r="H226" s="237"/>
      <c r="I226" s="237"/>
      <c r="J226" s="237"/>
      <c r="K226" s="237"/>
      <c r="L226" s="237"/>
      <c r="M226" s="237"/>
      <c r="N226" s="237"/>
      <c r="O226" s="237"/>
      <c r="P226" s="237"/>
      <c r="Q226" s="237"/>
      <c r="R226" s="237"/>
      <c r="S226" s="237"/>
      <c r="T226" s="237"/>
      <c r="U226" s="237"/>
      <c r="V226" s="237"/>
      <c r="W226" s="237"/>
    </row>
    <row r="227" spans="2:23" ht="12.75" customHeight="1">
      <c r="B227" s="237"/>
      <c r="C227" s="237"/>
      <c r="D227" s="237"/>
      <c r="E227" s="237"/>
      <c r="F227" s="237"/>
      <c r="G227" s="237"/>
      <c r="H227" s="237"/>
      <c r="I227" s="237"/>
      <c r="J227" s="237"/>
      <c r="K227" s="237"/>
      <c r="L227" s="237"/>
      <c r="M227" s="237"/>
      <c r="N227" s="237"/>
      <c r="O227" s="237"/>
      <c r="P227" s="237"/>
      <c r="Q227" s="237"/>
      <c r="R227" s="237"/>
      <c r="S227" s="237"/>
      <c r="T227" s="237"/>
      <c r="U227" s="237"/>
      <c r="V227" s="237"/>
      <c r="W227" s="237"/>
    </row>
    <row r="228" spans="2:23" ht="12.75" customHeight="1">
      <c r="B228" s="237"/>
      <c r="C228" s="237"/>
      <c r="D228" s="237"/>
      <c r="E228" s="237"/>
      <c r="F228" s="237"/>
      <c r="G228" s="237"/>
      <c r="H228" s="237"/>
      <c r="I228" s="237"/>
      <c r="J228" s="237"/>
      <c r="K228" s="237"/>
      <c r="L228" s="237"/>
      <c r="M228" s="237"/>
      <c r="N228" s="237"/>
      <c r="O228" s="237"/>
      <c r="P228" s="237"/>
      <c r="Q228" s="237"/>
      <c r="R228" s="237"/>
      <c r="S228" s="237"/>
      <c r="T228" s="237"/>
      <c r="U228" s="237"/>
      <c r="V228" s="237"/>
      <c r="W228" s="237"/>
    </row>
    <row r="229" spans="2:23" ht="12.75" customHeight="1">
      <c r="B229" s="237"/>
      <c r="C229" s="237"/>
      <c r="D229" s="237"/>
      <c r="E229" s="237"/>
      <c r="F229" s="237"/>
      <c r="G229" s="237"/>
      <c r="H229" s="237"/>
      <c r="I229" s="237"/>
      <c r="J229" s="237"/>
      <c r="K229" s="237"/>
      <c r="L229" s="237"/>
      <c r="M229" s="237"/>
      <c r="N229" s="237"/>
      <c r="O229" s="237"/>
      <c r="P229" s="237"/>
      <c r="Q229" s="237"/>
      <c r="R229" s="237"/>
      <c r="S229" s="237"/>
      <c r="T229" s="237"/>
      <c r="U229" s="237"/>
      <c r="V229" s="237"/>
      <c r="W229" s="237"/>
    </row>
    <row r="230" spans="2:23" ht="12.75" customHeight="1">
      <c r="B230" s="237"/>
      <c r="C230" s="237"/>
      <c r="D230" s="237"/>
      <c r="E230" s="237"/>
      <c r="F230" s="237"/>
      <c r="G230" s="237"/>
      <c r="H230" s="237"/>
      <c r="I230" s="237"/>
      <c r="J230" s="237"/>
      <c r="K230" s="237"/>
      <c r="L230" s="237"/>
      <c r="M230" s="237"/>
      <c r="N230" s="237"/>
      <c r="O230" s="237"/>
      <c r="P230" s="237"/>
      <c r="Q230" s="237"/>
      <c r="R230" s="237"/>
      <c r="S230" s="237"/>
      <c r="T230" s="237"/>
      <c r="U230" s="237"/>
      <c r="V230" s="237"/>
      <c r="W230" s="237"/>
    </row>
    <row r="231" spans="2:23" ht="12.75" customHeight="1">
      <c r="B231" s="237"/>
      <c r="C231" s="237"/>
      <c r="D231" s="237"/>
      <c r="E231" s="237"/>
      <c r="F231" s="237"/>
      <c r="G231" s="237"/>
      <c r="H231" s="237"/>
      <c r="I231" s="237"/>
      <c r="J231" s="237"/>
      <c r="K231" s="237"/>
      <c r="L231" s="237"/>
      <c r="M231" s="237"/>
      <c r="N231" s="237"/>
      <c r="O231" s="237"/>
      <c r="P231" s="237"/>
      <c r="Q231" s="237"/>
      <c r="R231" s="237"/>
      <c r="S231" s="237"/>
      <c r="T231" s="237"/>
      <c r="U231" s="237"/>
      <c r="V231" s="237"/>
      <c r="W231" s="237"/>
    </row>
    <row r="232" spans="2:23" ht="12.75" customHeight="1">
      <c r="B232" s="237"/>
      <c r="C232" s="237"/>
      <c r="D232" s="237"/>
      <c r="E232" s="237"/>
      <c r="F232" s="237"/>
      <c r="G232" s="237"/>
      <c r="H232" s="237"/>
      <c r="I232" s="237"/>
      <c r="J232" s="237"/>
      <c r="K232" s="237"/>
      <c r="L232" s="237"/>
      <c r="M232" s="237"/>
      <c r="N232" s="237"/>
      <c r="O232" s="237"/>
      <c r="P232" s="237"/>
      <c r="Q232" s="237"/>
      <c r="R232" s="237"/>
      <c r="S232" s="237"/>
      <c r="T232" s="237"/>
      <c r="U232" s="237"/>
      <c r="V232" s="237"/>
      <c r="W232" s="237"/>
    </row>
    <row r="233" spans="2:23" ht="12.75" customHeight="1">
      <c r="B233" s="237"/>
      <c r="C233" s="237"/>
      <c r="D233" s="237"/>
      <c r="E233" s="237"/>
      <c r="F233" s="237"/>
      <c r="G233" s="237"/>
      <c r="H233" s="237"/>
      <c r="I233" s="237"/>
      <c r="J233" s="237"/>
      <c r="K233" s="237"/>
      <c r="L233" s="237"/>
      <c r="M233" s="237"/>
      <c r="N233" s="237"/>
      <c r="O233" s="237"/>
      <c r="P233" s="237"/>
      <c r="Q233" s="237"/>
      <c r="R233" s="237"/>
      <c r="S233" s="237"/>
      <c r="T233" s="237"/>
      <c r="U233" s="237"/>
      <c r="V233" s="237"/>
      <c r="W233" s="237"/>
    </row>
    <row r="234" spans="2:23" ht="12.75" customHeight="1">
      <c r="B234" s="237"/>
      <c r="C234" s="237"/>
      <c r="D234" s="237"/>
      <c r="E234" s="237"/>
      <c r="F234" s="237"/>
      <c r="G234" s="237"/>
      <c r="H234" s="237"/>
      <c r="I234" s="237"/>
      <c r="J234" s="237"/>
      <c r="K234" s="237"/>
      <c r="L234" s="237"/>
      <c r="M234" s="237"/>
      <c r="N234" s="237"/>
      <c r="O234" s="237"/>
      <c r="P234" s="237"/>
      <c r="Q234" s="237"/>
      <c r="R234" s="237"/>
      <c r="S234" s="237"/>
      <c r="T234" s="237"/>
      <c r="U234" s="237"/>
      <c r="V234" s="237"/>
      <c r="W234" s="237"/>
    </row>
    <row r="235" spans="2:23" ht="12.75" customHeight="1">
      <c r="B235" s="237"/>
      <c r="C235" s="237"/>
      <c r="D235" s="237"/>
      <c r="E235" s="237"/>
      <c r="F235" s="237"/>
      <c r="G235" s="237"/>
      <c r="H235" s="237"/>
      <c r="I235" s="237"/>
      <c r="J235" s="237"/>
      <c r="K235" s="237"/>
      <c r="L235" s="237"/>
      <c r="M235" s="237"/>
      <c r="N235" s="237"/>
      <c r="O235" s="237"/>
      <c r="P235" s="237"/>
      <c r="Q235" s="237"/>
      <c r="R235" s="237"/>
      <c r="S235" s="237"/>
      <c r="T235" s="237"/>
      <c r="U235" s="237"/>
      <c r="V235" s="237"/>
      <c r="W235" s="237"/>
    </row>
    <row r="236" spans="2:23" ht="12.75" customHeight="1">
      <c r="B236" s="237"/>
      <c r="C236" s="237"/>
      <c r="D236" s="237"/>
      <c r="E236" s="237"/>
      <c r="F236" s="237"/>
      <c r="G236" s="237"/>
      <c r="H236" s="237"/>
      <c r="I236" s="237"/>
      <c r="J236" s="237"/>
      <c r="K236" s="237"/>
      <c r="L236" s="237"/>
      <c r="M236" s="237"/>
      <c r="N236" s="237"/>
      <c r="O236" s="237"/>
      <c r="P236" s="237"/>
      <c r="Q236" s="237"/>
      <c r="R236" s="237"/>
      <c r="S236" s="237"/>
      <c r="T236" s="237"/>
      <c r="U236" s="237"/>
      <c r="V236" s="237"/>
      <c r="W236" s="237"/>
    </row>
    <row r="237" spans="2:23" ht="12.75" customHeight="1">
      <c r="B237" s="237"/>
      <c r="C237" s="237"/>
      <c r="D237" s="237"/>
      <c r="E237" s="237"/>
      <c r="F237" s="237"/>
      <c r="G237" s="237"/>
      <c r="H237" s="237"/>
      <c r="I237" s="237"/>
      <c r="J237" s="237"/>
      <c r="K237" s="237"/>
      <c r="L237" s="237"/>
      <c r="M237" s="237"/>
      <c r="N237" s="237"/>
      <c r="O237" s="237"/>
      <c r="P237" s="237"/>
      <c r="Q237" s="237"/>
      <c r="R237" s="237"/>
      <c r="S237" s="237"/>
      <c r="T237" s="237"/>
      <c r="U237" s="237"/>
      <c r="V237" s="237"/>
      <c r="W237" s="237"/>
    </row>
    <row r="238" spans="2:23" ht="12.75" customHeight="1">
      <c r="B238" s="237"/>
      <c r="C238" s="237"/>
      <c r="D238" s="237"/>
      <c r="E238" s="237"/>
      <c r="F238" s="237"/>
      <c r="G238" s="237"/>
      <c r="H238" s="237"/>
      <c r="I238" s="237"/>
      <c r="J238" s="237"/>
      <c r="K238" s="237"/>
      <c r="L238" s="237"/>
      <c r="M238" s="237"/>
      <c r="N238" s="237"/>
      <c r="O238" s="237"/>
      <c r="P238" s="237"/>
      <c r="Q238" s="237"/>
      <c r="R238" s="237"/>
      <c r="S238" s="237"/>
      <c r="T238" s="237"/>
      <c r="U238" s="237"/>
      <c r="V238" s="237"/>
      <c r="W238" s="237"/>
    </row>
    <row r="239" spans="2:23" ht="12.75" customHeight="1">
      <c r="B239" s="237"/>
      <c r="C239" s="237"/>
      <c r="D239" s="237"/>
      <c r="E239" s="237"/>
      <c r="F239" s="237"/>
      <c r="G239" s="237"/>
      <c r="H239" s="237"/>
      <c r="I239" s="237"/>
      <c r="J239" s="237"/>
      <c r="K239" s="237"/>
      <c r="L239" s="237"/>
      <c r="M239" s="237"/>
      <c r="N239" s="237"/>
      <c r="O239" s="237"/>
      <c r="P239" s="237"/>
      <c r="Q239" s="237"/>
      <c r="R239" s="237"/>
      <c r="S239" s="237"/>
      <c r="T239" s="237"/>
      <c r="U239" s="237"/>
      <c r="V239" s="237"/>
      <c r="W239" s="237"/>
    </row>
    <row r="240" spans="2:23" ht="12.75" customHeight="1">
      <c r="B240" s="237"/>
      <c r="C240" s="237"/>
      <c r="D240" s="237"/>
      <c r="E240" s="237"/>
      <c r="F240" s="237"/>
      <c r="G240" s="237"/>
      <c r="H240" s="237"/>
      <c r="I240" s="237"/>
      <c r="J240" s="237"/>
      <c r="K240" s="237"/>
      <c r="L240" s="237"/>
      <c r="M240" s="237"/>
      <c r="N240" s="237"/>
      <c r="O240" s="237"/>
      <c r="P240" s="237"/>
      <c r="Q240" s="237"/>
      <c r="R240" s="237"/>
      <c r="S240" s="237"/>
      <c r="T240" s="237"/>
      <c r="U240" s="237"/>
      <c r="V240" s="237"/>
      <c r="W240" s="237"/>
    </row>
    <row r="241" spans="2:23" ht="12.75" customHeight="1">
      <c r="B241" s="237"/>
      <c r="C241" s="237"/>
      <c r="D241" s="237"/>
      <c r="E241" s="237"/>
      <c r="F241" s="237"/>
      <c r="G241" s="237"/>
      <c r="H241" s="237"/>
      <c r="I241" s="237"/>
      <c r="J241" s="237"/>
      <c r="K241" s="237"/>
      <c r="L241" s="237"/>
      <c r="M241" s="237"/>
      <c r="N241" s="237"/>
      <c r="O241" s="237"/>
      <c r="P241" s="237"/>
      <c r="Q241" s="237"/>
      <c r="R241" s="237"/>
      <c r="S241" s="237"/>
      <c r="T241" s="237"/>
      <c r="U241" s="237"/>
      <c r="V241" s="237"/>
      <c r="W241" s="237"/>
    </row>
    <row r="242" spans="2:23" ht="12.75" customHeight="1">
      <c r="B242" s="237"/>
      <c r="C242" s="237"/>
      <c r="D242" s="237"/>
      <c r="E242" s="237"/>
      <c r="F242" s="237"/>
      <c r="G242" s="237"/>
      <c r="H242" s="237"/>
      <c r="I242" s="237"/>
      <c r="J242" s="237"/>
      <c r="K242" s="237"/>
      <c r="L242" s="237"/>
      <c r="M242" s="237"/>
      <c r="N242" s="237"/>
      <c r="O242" s="237"/>
      <c r="P242" s="237"/>
      <c r="Q242" s="237"/>
      <c r="R242" s="237"/>
      <c r="S242" s="237"/>
      <c r="T242" s="237"/>
      <c r="U242" s="237"/>
      <c r="V242" s="237"/>
      <c r="W242" s="237"/>
    </row>
    <row r="243" spans="2:23" ht="12.75" customHeight="1">
      <c r="B243" s="237"/>
      <c r="C243" s="237"/>
      <c r="D243" s="237"/>
      <c r="E243" s="237"/>
      <c r="F243" s="237"/>
      <c r="G243" s="237"/>
      <c r="H243" s="237"/>
      <c r="I243" s="237"/>
      <c r="J243" s="237"/>
      <c r="K243" s="237"/>
      <c r="L243" s="237"/>
      <c r="M243" s="237"/>
      <c r="N243" s="237"/>
      <c r="O243" s="237"/>
      <c r="P243" s="237"/>
      <c r="Q243" s="237"/>
      <c r="R243" s="237"/>
      <c r="S243" s="237"/>
      <c r="T243" s="237"/>
      <c r="U243" s="237"/>
      <c r="V243" s="237"/>
      <c r="W243" s="237"/>
    </row>
    <row r="244" spans="2:23" ht="12.75" customHeight="1">
      <c r="B244" s="237"/>
      <c r="C244" s="237"/>
      <c r="D244" s="237"/>
      <c r="E244" s="237"/>
      <c r="F244" s="237"/>
      <c r="G244" s="237"/>
      <c r="H244" s="237"/>
      <c r="I244" s="237"/>
      <c r="J244" s="237"/>
      <c r="K244" s="237"/>
      <c r="L244" s="237"/>
      <c r="M244" s="237"/>
      <c r="N244" s="237"/>
      <c r="O244" s="237"/>
      <c r="P244" s="237"/>
      <c r="Q244" s="237"/>
      <c r="R244" s="237"/>
      <c r="S244" s="237"/>
      <c r="T244" s="237"/>
      <c r="U244" s="237"/>
      <c r="V244" s="237"/>
      <c r="W244" s="237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2"/>
  <sheetViews>
    <sheetView view="pageBreakPreview" topLeftCell="A2" zoomScaleSheetLayoutView="100" workbookViewId="0">
      <selection activeCell="G23" sqref="G23"/>
    </sheetView>
  </sheetViews>
  <sheetFormatPr defaultColWidth="9.140625" defaultRowHeight="14.25"/>
  <cols>
    <col min="1" max="1" width="5.42578125" style="470" customWidth="1"/>
    <col min="2" max="2" width="5" style="470" customWidth="1"/>
    <col min="3" max="3" width="20.140625" style="470" customWidth="1"/>
    <col min="4" max="4" width="3.28515625" style="470" customWidth="1"/>
    <col min="5" max="5" width="14" style="62" customWidth="1"/>
    <col min="6" max="6" width="9.140625" style="470"/>
    <col min="7" max="7" width="10.28515625" style="470" customWidth="1"/>
    <col min="8" max="13" width="9.140625" style="470"/>
    <col min="14" max="15" width="3.42578125" style="470" customWidth="1"/>
    <col min="16" max="16" width="5.5703125" style="470" customWidth="1"/>
    <col min="17" max="16384" width="9.140625" style="470"/>
  </cols>
  <sheetData>
    <row r="1" spans="1:16" ht="25.5">
      <c r="A1" s="781" t="str">
        <f>封面!$A$4</f>
        <v>彰化縣地方教育發展基金－彰化縣秀水鄉馬興國民小學</v>
      </c>
      <c r="B1" s="781"/>
      <c r="C1" s="781"/>
      <c r="D1" s="781"/>
      <c r="E1" s="781"/>
      <c r="F1" s="781"/>
      <c r="G1" s="781"/>
      <c r="H1" s="781"/>
      <c r="I1" s="781"/>
      <c r="J1" s="781"/>
      <c r="K1" s="781"/>
      <c r="L1" s="781"/>
      <c r="M1" s="781"/>
      <c r="N1" s="781"/>
      <c r="O1" s="781"/>
    </row>
    <row r="2" spans="1:16" ht="19.5">
      <c r="A2" s="782" t="s">
        <v>116</v>
      </c>
      <c r="B2" s="782"/>
      <c r="C2" s="782"/>
      <c r="D2" s="782"/>
      <c r="E2" s="782"/>
      <c r="F2" s="782"/>
      <c r="G2" s="782"/>
      <c r="H2" s="782"/>
      <c r="I2" s="782"/>
      <c r="J2" s="782"/>
      <c r="K2" s="782"/>
      <c r="L2" s="782"/>
      <c r="M2" s="782"/>
      <c r="N2" s="782"/>
      <c r="O2" s="782"/>
    </row>
    <row r="3" spans="1:16" ht="15.75">
      <c r="A3" s="783" t="str">
        <f>封面!$E$10&amp;封面!$H$10&amp;封面!$I$10&amp;封面!$J$10&amp;封面!$K$10&amp;封面!L10</f>
        <v>中華民國113年1月份</v>
      </c>
      <c r="B3" s="783"/>
      <c r="C3" s="783"/>
      <c r="D3" s="783"/>
      <c r="E3" s="783"/>
      <c r="F3" s="783"/>
      <c r="G3" s="783"/>
      <c r="H3" s="783"/>
      <c r="I3" s="783"/>
      <c r="J3" s="783"/>
      <c r="K3" s="783"/>
      <c r="L3" s="783"/>
      <c r="M3" s="783"/>
      <c r="N3" s="783"/>
      <c r="O3" s="783"/>
    </row>
    <row r="4" spans="1:16" s="471" customFormat="1" ht="16.5">
      <c r="A4" s="471" t="s">
        <v>220</v>
      </c>
      <c r="B4" s="780" t="s">
        <v>221</v>
      </c>
      <c r="C4" s="780"/>
      <c r="D4" s="780"/>
      <c r="E4" s="780"/>
      <c r="F4" s="780"/>
      <c r="G4" s="780"/>
      <c r="H4" s="780"/>
      <c r="I4" s="780"/>
      <c r="J4" s="780"/>
      <c r="K4" s="780"/>
      <c r="L4" s="780"/>
      <c r="M4" s="780"/>
      <c r="N4" s="780"/>
      <c r="O4" s="780"/>
      <c r="P4" s="780"/>
    </row>
    <row r="5" spans="1:16" s="471" customFormat="1" ht="16.5">
      <c r="B5" s="471" t="s">
        <v>437</v>
      </c>
      <c r="C5" s="471" t="s">
        <v>438</v>
      </c>
      <c r="D5" s="102" t="s">
        <v>222</v>
      </c>
      <c r="E5" s="60" t="s">
        <v>194</v>
      </c>
      <c r="F5" s="588"/>
      <c r="G5" s="588"/>
      <c r="H5" s="588"/>
      <c r="I5" s="588"/>
    </row>
    <row r="6" spans="1:16" s="471" customFormat="1" ht="16.5">
      <c r="D6" s="591"/>
      <c r="E6" s="60" t="s">
        <v>195</v>
      </c>
      <c r="F6" s="588"/>
      <c r="G6" s="588"/>
      <c r="H6" s="333" t="s">
        <v>460</v>
      </c>
      <c r="I6" s="333"/>
      <c r="J6" s="333"/>
      <c r="K6" s="333"/>
      <c r="L6" s="333"/>
      <c r="M6" s="333"/>
      <c r="N6" s="333"/>
      <c r="O6" s="333"/>
      <c r="P6" s="333"/>
    </row>
    <row r="7" spans="1:16" s="471" customFormat="1" ht="16.5" hidden="1">
      <c r="B7" s="471" t="s">
        <v>439</v>
      </c>
      <c r="C7" s="471" t="s">
        <v>440</v>
      </c>
      <c r="D7" s="102" t="s">
        <v>222</v>
      </c>
      <c r="E7" s="60" t="s">
        <v>194</v>
      </c>
      <c r="H7" s="333"/>
      <c r="I7" s="333"/>
      <c r="J7" s="333"/>
      <c r="K7" s="333"/>
      <c r="L7" s="333"/>
      <c r="M7" s="333"/>
      <c r="N7" s="333"/>
      <c r="O7" s="333"/>
      <c r="P7" s="333"/>
    </row>
    <row r="8" spans="1:16" s="471" customFormat="1" ht="16.5" hidden="1">
      <c r="D8" s="591"/>
      <c r="E8" s="60" t="s">
        <v>195</v>
      </c>
      <c r="H8" s="333" t="s">
        <v>448</v>
      </c>
      <c r="I8" s="333"/>
      <c r="J8" s="333"/>
      <c r="K8" s="333"/>
      <c r="L8" s="333"/>
      <c r="M8" s="333"/>
      <c r="N8" s="333"/>
      <c r="O8" s="333"/>
      <c r="P8" s="333"/>
    </row>
    <row r="9" spans="1:16" s="471" customFormat="1" ht="16.5">
      <c r="B9" s="471" t="s">
        <v>233</v>
      </c>
      <c r="C9" s="471" t="s">
        <v>223</v>
      </c>
      <c r="D9" s="102" t="s">
        <v>222</v>
      </c>
      <c r="E9" s="60" t="s">
        <v>194</v>
      </c>
      <c r="H9" s="333"/>
      <c r="I9" s="333"/>
      <c r="J9" s="333"/>
      <c r="K9" s="333"/>
      <c r="L9" s="333"/>
      <c r="M9" s="333"/>
      <c r="N9" s="333"/>
      <c r="O9" s="333"/>
      <c r="P9" s="333"/>
    </row>
    <row r="10" spans="1:16" s="471" customFormat="1" ht="16.5">
      <c r="D10" s="572"/>
      <c r="E10" s="60" t="s">
        <v>195</v>
      </c>
      <c r="H10" s="574" t="s">
        <v>449</v>
      </c>
      <c r="I10" s="333"/>
      <c r="J10" s="333"/>
      <c r="K10" s="333"/>
      <c r="L10" s="333"/>
      <c r="M10" s="333"/>
      <c r="N10" s="333"/>
      <c r="O10" s="333"/>
      <c r="P10" s="333"/>
    </row>
    <row r="11" spans="1:16" s="471" customFormat="1" ht="16.5">
      <c r="B11" s="471" t="s">
        <v>293</v>
      </c>
      <c r="C11" s="471" t="s">
        <v>224</v>
      </c>
      <c r="D11" s="102" t="s">
        <v>222</v>
      </c>
      <c r="E11" s="60" t="s">
        <v>194</v>
      </c>
      <c r="H11" s="333"/>
      <c r="I11" s="333"/>
      <c r="J11" s="333"/>
      <c r="K11" s="333"/>
      <c r="L11" s="333"/>
      <c r="M11" s="333"/>
      <c r="N11" s="333"/>
      <c r="O11" s="333"/>
      <c r="P11" s="333"/>
    </row>
    <row r="12" spans="1:16" s="471" customFormat="1" ht="16.5">
      <c r="E12" s="60" t="s">
        <v>195</v>
      </c>
      <c r="H12" s="333"/>
      <c r="I12" s="333"/>
      <c r="J12" s="333"/>
      <c r="K12" s="333"/>
      <c r="L12" s="333"/>
      <c r="M12" s="333"/>
      <c r="N12" s="333"/>
      <c r="O12" s="333"/>
      <c r="P12" s="333"/>
    </row>
    <row r="13" spans="1:16" s="471" customFormat="1" ht="16.5">
      <c r="B13" s="471" t="s">
        <v>294</v>
      </c>
      <c r="C13" s="472" t="s">
        <v>225</v>
      </c>
      <c r="D13" s="102" t="s">
        <v>222</v>
      </c>
      <c r="E13" s="490" t="s">
        <v>194</v>
      </c>
      <c r="H13" s="333"/>
      <c r="I13" s="333"/>
      <c r="J13" s="333"/>
      <c r="K13" s="333"/>
      <c r="L13" s="333"/>
      <c r="M13" s="333"/>
      <c r="N13" s="333"/>
      <c r="O13" s="333"/>
      <c r="P13" s="333"/>
    </row>
    <row r="14" spans="1:16" s="471" customFormat="1" ht="16.5" customHeight="1">
      <c r="C14" s="472"/>
      <c r="D14" s="591"/>
      <c r="E14" s="491" t="s">
        <v>195</v>
      </c>
      <c r="H14" s="784" t="s">
        <v>463</v>
      </c>
      <c r="I14" s="784"/>
      <c r="J14" s="784"/>
      <c r="K14" s="784"/>
      <c r="L14" s="784"/>
      <c r="M14" s="784"/>
      <c r="N14" s="784"/>
      <c r="O14" s="784"/>
      <c r="P14" s="784"/>
    </row>
    <row r="15" spans="1:16" s="471" customFormat="1" ht="16.5" customHeight="1">
      <c r="C15" s="472"/>
      <c r="D15" s="378"/>
      <c r="E15" s="377"/>
      <c r="H15" s="784"/>
      <c r="I15" s="784"/>
      <c r="J15" s="784"/>
      <c r="K15" s="784"/>
      <c r="L15" s="784"/>
      <c r="M15" s="784"/>
      <c r="N15" s="784"/>
      <c r="O15" s="784"/>
      <c r="P15" s="784"/>
    </row>
    <row r="16" spans="1:16" s="471" customFormat="1" ht="15.75" customHeight="1">
      <c r="C16" s="472"/>
      <c r="D16" s="472"/>
      <c r="E16" s="363"/>
    </row>
    <row r="17" spans="1:16" s="471" customFormat="1" ht="16.5">
      <c r="A17" s="471" t="s">
        <v>226</v>
      </c>
      <c r="B17" s="780" t="s">
        <v>227</v>
      </c>
      <c r="C17" s="780"/>
      <c r="D17" s="780"/>
      <c r="E17" s="780"/>
      <c r="F17" s="780"/>
      <c r="G17" s="780"/>
      <c r="H17" s="780"/>
      <c r="I17" s="780"/>
      <c r="J17" s="780"/>
      <c r="K17" s="780"/>
      <c r="L17" s="780"/>
      <c r="M17" s="780"/>
      <c r="N17" s="780"/>
    </row>
    <row r="18" spans="1:16" s="471" customFormat="1" ht="16.5">
      <c r="B18" s="471" t="s">
        <v>228</v>
      </c>
      <c r="C18" s="472" t="s">
        <v>229</v>
      </c>
      <c r="D18" s="472"/>
      <c r="E18" s="379"/>
    </row>
    <row r="19" spans="1:16" s="471" customFormat="1" ht="16.5">
      <c r="C19" s="472" t="s">
        <v>230</v>
      </c>
      <c r="D19" s="376" t="s">
        <v>222</v>
      </c>
      <c r="E19" s="379" t="s">
        <v>231</v>
      </c>
      <c r="F19" s="572"/>
      <c r="G19" s="572"/>
      <c r="H19" s="572"/>
      <c r="I19" s="572"/>
      <c r="J19" s="572"/>
      <c r="K19" s="572"/>
      <c r="L19" s="572"/>
      <c r="M19" s="572"/>
      <c r="N19" s="572"/>
      <c r="O19" s="572"/>
      <c r="P19" s="572"/>
    </row>
    <row r="20" spans="1:16" s="471" customFormat="1" ht="16.5">
      <c r="C20" s="472"/>
      <c r="D20" s="573"/>
      <c r="E20" s="379" t="s">
        <v>232</v>
      </c>
      <c r="F20" s="572"/>
      <c r="G20" s="572"/>
      <c r="H20" s="577"/>
      <c r="I20" s="575"/>
      <c r="J20" s="575"/>
      <c r="K20" s="575"/>
      <c r="L20" s="575"/>
      <c r="M20" s="575"/>
      <c r="N20" s="575"/>
      <c r="O20" s="575"/>
      <c r="P20" s="575"/>
    </row>
    <row r="21" spans="1:16" s="471" customFormat="1" ht="16.5">
      <c r="B21" s="471" t="s">
        <v>233</v>
      </c>
      <c r="C21" s="472"/>
      <c r="D21" s="378"/>
      <c r="E21" s="379"/>
      <c r="F21" s="572"/>
      <c r="G21" s="572"/>
      <c r="H21" s="576"/>
      <c r="I21" s="576"/>
      <c r="J21" s="576"/>
      <c r="K21" s="576"/>
      <c r="L21" s="576"/>
      <c r="M21" s="576"/>
      <c r="N21" s="576"/>
      <c r="O21" s="576"/>
      <c r="P21" s="576"/>
    </row>
    <row r="22" spans="1:16" s="471" customFormat="1" ht="16.5">
      <c r="C22" s="472" t="s">
        <v>234</v>
      </c>
      <c r="D22" s="472"/>
      <c r="E22" s="379"/>
      <c r="F22" s="572"/>
      <c r="G22" s="572"/>
      <c r="H22" s="572"/>
      <c r="I22" s="572"/>
      <c r="J22" s="572"/>
      <c r="K22" s="572"/>
      <c r="L22" s="572"/>
      <c r="M22" s="572"/>
      <c r="N22" s="572"/>
      <c r="O22" s="572"/>
      <c r="P22" s="572"/>
    </row>
    <row r="23" spans="1:16" s="471" customFormat="1" ht="16.5">
      <c r="C23" s="472" t="s">
        <v>295</v>
      </c>
      <c r="D23" s="376" t="s">
        <v>222</v>
      </c>
      <c r="E23" s="379" t="s">
        <v>194</v>
      </c>
      <c r="F23" s="572"/>
      <c r="G23" s="572"/>
      <c r="H23" s="572"/>
      <c r="I23" s="572"/>
      <c r="J23" s="572"/>
      <c r="K23" s="572"/>
      <c r="L23" s="572"/>
      <c r="M23" s="572"/>
      <c r="N23" s="572"/>
      <c r="O23" s="572"/>
      <c r="P23" s="572"/>
    </row>
    <row r="24" spans="1:16" s="471" customFormat="1" ht="16.5">
      <c r="C24" s="572"/>
      <c r="D24" s="572"/>
      <c r="E24" s="60" t="s">
        <v>195</v>
      </c>
      <c r="F24" s="572"/>
      <c r="G24" s="572"/>
      <c r="H24" s="572"/>
      <c r="I24" s="572"/>
      <c r="J24" s="572"/>
      <c r="K24" s="572"/>
      <c r="L24" s="572"/>
      <c r="M24" s="572"/>
      <c r="N24" s="572"/>
      <c r="O24" s="572"/>
      <c r="P24" s="572"/>
    </row>
    <row r="25" spans="1:16" s="471" customFormat="1" ht="16.5">
      <c r="E25" s="61"/>
    </row>
    <row r="26" spans="1:16" s="471" customFormat="1" ht="16.5">
      <c r="E26" s="61"/>
    </row>
    <row r="27" spans="1:16" s="471" customFormat="1" ht="16.5">
      <c r="E27" s="61"/>
    </row>
    <row r="28" spans="1:16" s="471" customFormat="1" ht="16.5">
      <c r="E28" s="61"/>
    </row>
    <row r="29" spans="1:16" s="471" customFormat="1" ht="16.5">
      <c r="E29" s="61"/>
    </row>
    <row r="30" spans="1:16" s="471" customFormat="1" ht="16.5">
      <c r="E30" s="61"/>
    </row>
    <row r="31" spans="1:16" s="471" customFormat="1" ht="16.5">
      <c r="E31" s="61"/>
    </row>
    <row r="32" spans="1:16" s="471" customFormat="1" ht="16.5">
      <c r="E32" s="61"/>
    </row>
    <row r="33" spans="5:5" s="471" customFormat="1" ht="16.5">
      <c r="E33" s="61"/>
    </row>
    <row r="34" spans="5:5" s="471" customFormat="1" ht="16.5">
      <c r="E34" s="61"/>
    </row>
    <row r="35" spans="5:5" s="471" customFormat="1" ht="16.5">
      <c r="E35" s="61"/>
    </row>
    <row r="36" spans="5:5" s="471" customFormat="1" ht="16.5">
      <c r="E36" s="61"/>
    </row>
    <row r="37" spans="5:5" s="471" customFormat="1" ht="16.5">
      <c r="E37" s="61"/>
    </row>
    <row r="38" spans="5:5" s="471" customFormat="1" ht="16.5">
      <c r="E38" s="61"/>
    </row>
    <row r="39" spans="5:5" s="471" customFormat="1" ht="16.5">
      <c r="E39" s="61"/>
    </row>
    <row r="40" spans="5:5" s="471" customFormat="1" ht="16.5">
      <c r="E40" s="61"/>
    </row>
    <row r="41" spans="5:5" s="471" customFormat="1" ht="16.5">
      <c r="E41" s="61"/>
    </row>
    <row r="42" spans="5:5" s="471" customFormat="1" ht="16.5">
      <c r="E42" s="61"/>
    </row>
    <row r="43" spans="5:5" s="471" customFormat="1" ht="16.5">
      <c r="E43" s="61"/>
    </row>
    <row r="44" spans="5:5" s="471" customFormat="1" ht="16.5">
      <c r="E44" s="61"/>
    </row>
    <row r="45" spans="5:5" s="471" customFormat="1" ht="16.5">
      <c r="E45" s="61"/>
    </row>
    <row r="46" spans="5:5" s="471" customFormat="1" ht="16.5">
      <c r="E46" s="61"/>
    </row>
    <row r="47" spans="5:5" s="471" customFormat="1" ht="16.5">
      <c r="E47" s="61"/>
    </row>
    <row r="48" spans="5:5" s="471" customFormat="1" ht="16.5">
      <c r="E48" s="61"/>
    </row>
    <row r="49" spans="5:5" s="471" customFormat="1" ht="16.5">
      <c r="E49" s="61"/>
    </row>
    <row r="50" spans="5:5" s="471" customFormat="1" ht="16.5">
      <c r="E50" s="61"/>
    </row>
    <row r="51" spans="5:5" s="471" customFormat="1" ht="16.5">
      <c r="E51" s="61"/>
    </row>
    <row r="52" spans="5:5" s="471" customFormat="1" ht="16.5">
      <c r="E52" s="61"/>
    </row>
    <row r="53" spans="5:5" s="471" customFormat="1" ht="16.5">
      <c r="E53" s="61"/>
    </row>
    <row r="54" spans="5:5" s="471" customFormat="1" ht="16.5">
      <c r="E54" s="61"/>
    </row>
    <row r="55" spans="5:5" s="471" customFormat="1" ht="16.5">
      <c r="E55" s="61"/>
    </row>
    <row r="56" spans="5:5" s="471" customFormat="1" ht="16.5">
      <c r="E56" s="61"/>
    </row>
    <row r="57" spans="5:5" s="471" customFormat="1" ht="16.5">
      <c r="E57" s="61"/>
    </row>
    <row r="58" spans="5:5" s="471" customFormat="1" ht="16.5">
      <c r="E58" s="61"/>
    </row>
    <row r="59" spans="5:5" s="471" customFormat="1" ht="16.5">
      <c r="E59" s="61"/>
    </row>
    <row r="60" spans="5:5" s="471" customFormat="1" ht="16.5">
      <c r="E60" s="61"/>
    </row>
    <row r="61" spans="5:5" s="471" customFormat="1" ht="16.5">
      <c r="E61" s="61"/>
    </row>
    <row r="62" spans="5:5" s="471" customFormat="1" ht="16.5">
      <c r="E62" s="61"/>
    </row>
  </sheetData>
  <mergeCells count="6">
    <mergeCell ref="B17:N17"/>
    <mergeCell ref="A1:O1"/>
    <mergeCell ref="A2:O2"/>
    <mergeCell ref="A3:O3"/>
    <mergeCell ref="B4:P4"/>
    <mergeCell ref="H14:P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3"/>
  <sheetViews>
    <sheetView showGridLines="0" showZeros="0" tabSelected="1" showOutlineSymbols="0" view="pageBreakPreview" zoomScaleSheetLayoutView="100" workbookViewId="0">
      <pane xSplit="2" ySplit="13" topLeftCell="C14" activePane="bottomRight" state="frozen"/>
      <selection activeCell="G23" sqref="G23"/>
      <selection pane="topRight" activeCell="G23" sqref="G23"/>
      <selection pane="bottomLeft" activeCell="G23" sqref="G23"/>
      <selection pane="bottomRight" activeCell="A40" sqref="A40:D40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717" t="str">
        <f>封面!$A$4</f>
        <v>彰化縣地方教育發展基金－彰化縣秀水鄉馬興國民小學</v>
      </c>
      <c r="B1" s="717"/>
      <c r="C1" s="717"/>
      <c r="D1" s="717"/>
      <c r="E1" s="717"/>
      <c r="F1" s="717"/>
      <c r="G1" s="717"/>
      <c r="H1" s="717"/>
      <c r="I1" s="626"/>
      <c r="J1" s="626"/>
      <c r="K1" s="626"/>
      <c r="L1" s="626"/>
      <c r="M1" s="626"/>
      <c r="N1" s="626"/>
    </row>
    <row r="2" spans="1:18" ht="19.5" hidden="1" customHeight="1">
      <c r="A2" s="326"/>
      <c r="B2" s="326"/>
      <c r="C2" s="326"/>
      <c r="D2" s="326"/>
      <c r="E2" s="326"/>
      <c r="F2" s="326"/>
      <c r="G2" s="326"/>
      <c r="H2" s="326"/>
    </row>
    <row r="3" spans="1:18" ht="14.25" hidden="1" customHeight="1"/>
    <row r="4" spans="1:18" ht="19.899999999999999" customHeight="1">
      <c r="A4" s="733" t="s">
        <v>310</v>
      </c>
      <c r="B4" s="733"/>
      <c r="C4" s="733"/>
      <c r="D4" s="733"/>
      <c r="E4" s="733"/>
      <c r="F4" s="733"/>
      <c r="G4" s="733"/>
      <c r="H4" s="733"/>
      <c r="I4" s="626"/>
      <c r="J4" s="626"/>
      <c r="K4" s="626"/>
      <c r="L4" s="626"/>
      <c r="M4" s="626"/>
      <c r="N4" s="626"/>
    </row>
    <row r="5" spans="1:18" ht="6.75" customHeight="1"/>
    <row r="6" spans="1:18" ht="16.5">
      <c r="A6" s="718" t="str">
        <f>封面!$E$10&amp;封面!$H$10&amp;封面!$I$10&amp;封面!$J$10&amp;封面!$K$10&amp;封面!$O$10&amp;"日"</f>
        <v>中華民國113年1月31日</v>
      </c>
      <c r="B6" s="718"/>
      <c r="C6" s="718"/>
      <c r="D6" s="718"/>
      <c r="E6" s="718"/>
      <c r="F6" s="718"/>
      <c r="G6" s="718"/>
      <c r="H6" s="718"/>
      <c r="I6" s="626"/>
      <c r="J6" s="626"/>
      <c r="K6" s="626"/>
      <c r="L6" s="626"/>
      <c r="M6" s="626"/>
      <c r="N6" s="626"/>
    </row>
    <row r="7" spans="1:18" ht="16.5">
      <c r="A7" s="659" t="s">
        <v>39</v>
      </c>
      <c r="B7" s="659"/>
      <c r="C7" s="659"/>
      <c r="D7" s="659"/>
      <c r="E7" s="659"/>
      <c r="F7" s="659"/>
      <c r="G7" s="659"/>
      <c r="H7" s="659"/>
      <c r="I7" s="626"/>
      <c r="J7" s="626"/>
      <c r="K7" s="626"/>
      <c r="L7" s="626"/>
      <c r="M7" s="626"/>
      <c r="N7" s="626"/>
    </row>
    <row r="8" spans="1:18" ht="6" hidden="1" customHeight="1"/>
    <row r="9" spans="1:18" s="338" customFormat="1" ht="21" customHeight="1">
      <c r="A9" s="790" t="s">
        <v>307</v>
      </c>
      <c r="B9" s="791"/>
      <c r="C9" s="791"/>
      <c r="D9" s="791"/>
      <c r="E9" s="791"/>
      <c r="F9" s="790" t="s">
        <v>198</v>
      </c>
      <c r="G9" s="791"/>
      <c r="H9" s="791"/>
      <c r="I9" s="791"/>
      <c r="J9" s="791"/>
      <c r="K9" s="791"/>
      <c r="L9" s="791"/>
      <c r="M9" s="791"/>
      <c r="N9" s="791"/>
      <c r="O9" s="337"/>
      <c r="P9" s="337"/>
      <c r="Q9" s="337"/>
      <c r="R9" s="337"/>
    </row>
    <row r="10" spans="1:18" s="338" customFormat="1" ht="21" customHeight="1">
      <c r="A10" s="791"/>
      <c r="B10" s="791"/>
      <c r="C10" s="791"/>
      <c r="D10" s="791"/>
      <c r="E10" s="791"/>
      <c r="F10" s="787" t="s">
        <v>308</v>
      </c>
      <c r="G10" s="788"/>
      <c r="H10" s="788"/>
      <c r="I10" s="789"/>
      <c r="J10" s="794" t="s">
        <v>309</v>
      </c>
      <c r="K10" s="794"/>
      <c r="L10" s="794"/>
      <c r="M10" s="794"/>
      <c r="N10" s="794"/>
    </row>
    <row r="11" spans="1:18" s="331" customFormat="1" ht="12.75" hidden="1" customHeight="1">
      <c r="A11" s="339"/>
      <c r="B11" s="340"/>
      <c r="C11" s="340"/>
      <c r="D11" s="340"/>
      <c r="E11" s="340"/>
      <c r="F11" s="7"/>
      <c r="G11" s="7"/>
      <c r="H11" s="329"/>
      <c r="I11" s="336"/>
      <c r="J11" s="341"/>
      <c r="K11" s="341"/>
      <c r="L11" s="341"/>
      <c r="M11" s="341"/>
      <c r="N11" s="342"/>
    </row>
    <row r="12" spans="1:18" s="331" customFormat="1" ht="12.75" hidden="1" customHeight="1">
      <c r="A12" s="339"/>
      <c r="B12" s="340"/>
      <c r="C12" s="340"/>
      <c r="D12" s="340"/>
      <c r="E12" s="340"/>
      <c r="F12" s="7"/>
      <c r="G12" s="7"/>
      <c r="H12" s="14"/>
      <c r="I12" s="14"/>
      <c r="J12" s="341"/>
      <c r="K12" s="341"/>
      <c r="L12" s="341"/>
      <c r="M12" s="341"/>
      <c r="N12" s="342"/>
    </row>
    <row r="13" spans="1:18" s="331" customFormat="1" ht="9" hidden="1" customHeight="1">
      <c r="A13" s="339"/>
      <c r="B13" s="340"/>
      <c r="C13" s="380"/>
      <c r="D13" s="380"/>
      <c r="E13" s="380"/>
      <c r="F13" s="7"/>
      <c r="G13" s="7"/>
      <c r="H13" s="11"/>
      <c r="I13" s="11"/>
      <c r="J13" s="341"/>
      <c r="K13" s="341"/>
      <c r="L13" s="341"/>
      <c r="M13" s="341"/>
      <c r="N13" s="342"/>
    </row>
    <row r="14" spans="1:18" s="510" customFormat="1" ht="14.85" customHeight="1">
      <c r="A14" s="792" t="s">
        <v>394</v>
      </c>
      <c r="B14" s="793"/>
      <c r="C14" s="793"/>
      <c r="D14" s="793"/>
      <c r="E14" s="503"/>
      <c r="F14" s="504"/>
      <c r="G14" s="505"/>
      <c r="H14" s="505"/>
      <c r="I14" s="506">
        <f>SUM(I15:I25)/2</f>
        <v>6269000</v>
      </c>
      <c r="J14" s="507"/>
      <c r="K14" s="508"/>
      <c r="L14" s="508"/>
      <c r="M14" s="509"/>
      <c r="N14" s="506">
        <f t="shared" ref="N14:N37" si="0">I14</f>
        <v>6269000</v>
      </c>
    </row>
    <row r="15" spans="1:18" s="510" customFormat="1" ht="14.85" hidden="1" customHeight="1">
      <c r="A15" s="511"/>
      <c r="B15" s="785" t="s">
        <v>395</v>
      </c>
      <c r="C15" s="785"/>
      <c r="D15" s="785"/>
      <c r="E15" s="786"/>
      <c r="F15" s="512"/>
      <c r="G15" s="513"/>
      <c r="H15" s="513"/>
      <c r="I15" s="514">
        <f>I16</f>
        <v>0</v>
      </c>
      <c r="J15" s="515"/>
      <c r="K15" s="516"/>
      <c r="L15" s="516"/>
      <c r="M15" s="517"/>
      <c r="N15" s="514">
        <f t="shared" si="0"/>
        <v>0</v>
      </c>
    </row>
    <row r="16" spans="1:18" s="468" customFormat="1" ht="14.85" hidden="1" customHeight="1">
      <c r="A16" s="467"/>
      <c r="B16" s="462"/>
      <c r="C16" s="463" t="s">
        <v>396</v>
      </c>
      <c r="D16" s="463"/>
      <c r="E16" s="464"/>
      <c r="F16" s="422"/>
      <c r="G16" s="423"/>
      <c r="H16" s="423"/>
      <c r="I16" s="441"/>
      <c r="J16" s="442"/>
      <c r="K16" s="443"/>
      <c r="L16" s="443"/>
      <c r="M16" s="444"/>
      <c r="N16" s="441">
        <f t="shared" si="0"/>
        <v>0</v>
      </c>
    </row>
    <row r="17" spans="1:14" s="510" customFormat="1" ht="14.85" hidden="1" customHeight="1">
      <c r="A17" s="518"/>
      <c r="B17" s="785" t="s">
        <v>328</v>
      </c>
      <c r="C17" s="785"/>
      <c r="D17" s="785"/>
      <c r="E17" s="786"/>
      <c r="F17" s="512"/>
      <c r="G17" s="513"/>
      <c r="H17" s="513"/>
      <c r="I17" s="514">
        <f>SUM(I18:I21)</f>
        <v>0</v>
      </c>
      <c r="J17" s="515"/>
      <c r="K17" s="516"/>
      <c r="L17" s="516"/>
      <c r="M17" s="517"/>
      <c r="N17" s="514">
        <f t="shared" si="0"/>
        <v>0</v>
      </c>
    </row>
    <row r="18" spans="1:14" s="540" customFormat="1" ht="14.85" hidden="1" customHeight="1">
      <c r="A18" s="531"/>
      <c r="B18" s="532"/>
      <c r="C18" s="463" t="s">
        <v>442</v>
      </c>
      <c r="D18" s="532"/>
      <c r="E18" s="533"/>
      <c r="F18" s="534"/>
      <c r="G18" s="535"/>
      <c r="H18" s="535"/>
      <c r="I18" s="536"/>
      <c r="J18" s="537"/>
      <c r="K18" s="538"/>
      <c r="L18" s="538"/>
      <c r="M18" s="539"/>
      <c r="N18" s="441">
        <f t="shared" si="0"/>
        <v>0</v>
      </c>
    </row>
    <row r="19" spans="1:14" s="468" customFormat="1" ht="14.85" hidden="1" customHeight="1">
      <c r="A19" s="432"/>
      <c r="B19" s="462"/>
      <c r="C19" s="463" t="s">
        <v>397</v>
      </c>
      <c r="D19" s="463"/>
      <c r="E19" s="464"/>
      <c r="F19" s="422"/>
      <c r="G19" s="423"/>
      <c r="H19" s="423"/>
      <c r="I19" s="441"/>
      <c r="J19" s="442"/>
      <c r="K19" s="443"/>
      <c r="L19" s="443"/>
      <c r="M19" s="444"/>
      <c r="N19" s="441">
        <f t="shared" si="0"/>
        <v>0</v>
      </c>
    </row>
    <row r="20" spans="1:14" s="468" customFormat="1" ht="14.85" hidden="1" customHeight="1">
      <c r="A20" s="432"/>
      <c r="B20" s="462"/>
      <c r="C20" s="463" t="s">
        <v>398</v>
      </c>
      <c r="D20" s="463"/>
      <c r="E20" s="464"/>
      <c r="F20" s="422"/>
      <c r="G20" s="423"/>
      <c r="H20" s="423"/>
      <c r="I20" s="441"/>
      <c r="J20" s="442"/>
      <c r="K20" s="443"/>
      <c r="L20" s="443"/>
      <c r="M20" s="444"/>
      <c r="N20" s="441">
        <f t="shared" si="0"/>
        <v>0</v>
      </c>
    </row>
    <row r="21" spans="1:14" s="468" customFormat="1" ht="14.85" hidden="1" customHeight="1">
      <c r="A21" s="432"/>
      <c r="B21" s="462"/>
      <c r="C21" s="463" t="s">
        <v>399</v>
      </c>
      <c r="D21" s="463"/>
      <c r="E21" s="464"/>
      <c r="F21" s="422"/>
      <c r="G21" s="423"/>
      <c r="H21" s="423"/>
      <c r="I21" s="441"/>
      <c r="J21" s="442"/>
      <c r="K21" s="443"/>
      <c r="L21" s="443"/>
      <c r="M21" s="444"/>
      <c r="N21" s="441">
        <f t="shared" si="0"/>
        <v>0</v>
      </c>
    </row>
    <row r="22" spans="1:14" s="520" customFormat="1" ht="14.85" customHeight="1">
      <c r="A22" s="519"/>
      <c r="B22" s="785" t="s">
        <v>400</v>
      </c>
      <c r="C22" s="785"/>
      <c r="D22" s="785"/>
      <c r="E22" s="786"/>
      <c r="F22" s="512"/>
      <c r="G22" s="513"/>
      <c r="H22" s="513"/>
      <c r="I22" s="514">
        <f>I23</f>
        <v>6269000</v>
      </c>
      <c r="J22" s="515"/>
      <c r="K22" s="516"/>
      <c r="L22" s="516"/>
      <c r="M22" s="517"/>
      <c r="N22" s="514">
        <f t="shared" si="0"/>
        <v>6269000</v>
      </c>
    </row>
    <row r="23" spans="1:14" s="469" customFormat="1" ht="14.85" customHeight="1">
      <c r="A23" s="433"/>
      <c r="B23" s="436"/>
      <c r="C23" s="437" t="s">
        <v>401</v>
      </c>
      <c r="D23" s="437"/>
      <c r="E23" s="438"/>
      <c r="F23" s="433"/>
      <c r="G23" s="434"/>
      <c r="H23" s="434"/>
      <c r="I23" s="439">
        <v>6269000</v>
      </c>
      <c r="J23" s="432"/>
      <c r="K23" s="436"/>
      <c r="L23" s="436"/>
      <c r="M23" s="440"/>
      <c r="N23" s="441">
        <f t="shared" si="0"/>
        <v>6269000</v>
      </c>
    </row>
    <row r="24" spans="1:14" s="520" customFormat="1" ht="14.85" hidden="1" customHeight="1">
      <c r="A24" s="519"/>
      <c r="B24" s="521" t="s">
        <v>402</v>
      </c>
      <c r="C24" s="522"/>
      <c r="D24" s="522"/>
      <c r="E24" s="523"/>
      <c r="F24" s="519"/>
      <c r="G24" s="524"/>
      <c r="H24" s="524"/>
      <c r="I24" s="525">
        <f>I25</f>
        <v>0</v>
      </c>
      <c r="J24" s="518"/>
      <c r="K24" s="521"/>
      <c r="L24" s="521"/>
      <c r="M24" s="526"/>
      <c r="N24" s="525">
        <f t="shared" si="0"/>
        <v>0</v>
      </c>
    </row>
    <row r="25" spans="1:14" s="469" customFormat="1" ht="14.85" hidden="1" customHeight="1">
      <c r="A25" s="433"/>
      <c r="B25" s="436"/>
      <c r="C25" s="437" t="s">
        <v>403</v>
      </c>
      <c r="D25" s="437"/>
      <c r="E25" s="438"/>
      <c r="F25" s="433"/>
      <c r="G25" s="434"/>
      <c r="H25" s="434"/>
      <c r="I25" s="439"/>
      <c r="J25" s="432"/>
      <c r="K25" s="436"/>
      <c r="L25" s="436"/>
      <c r="M25" s="440"/>
      <c r="N25" s="441">
        <f t="shared" si="0"/>
        <v>0</v>
      </c>
    </row>
    <row r="26" spans="1:14" s="520" customFormat="1" ht="14.85" customHeight="1">
      <c r="A26" s="799" t="s">
        <v>329</v>
      </c>
      <c r="B26" s="785"/>
      <c r="C26" s="785"/>
      <c r="D26" s="785"/>
      <c r="E26" s="527"/>
      <c r="F26" s="512"/>
      <c r="G26" s="513"/>
      <c r="H26" s="513"/>
      <c r="I26" s="514">
        <f>SUM(I27:I36)/2</f>
        <v>7292506</v>
      </c>
      <c r="J26" s="515"/>
      <c r="K26" s="516"/>
      <c r="L26" s="516"/>
      <c r="M26" s="517"/>
      <c r="N26" s="514">
        <f t="shared" si="0"/>
        <v>7292506</v>
      </c>
    </row>
    <row r="27" spans="1:14" s="520" customFormat="1" ht="14.85" customHeight="1">
      <c r="A27" s="519"/>
      <c r="B27" s="785" t="s">
        <v>404</v>
      </c>
      <c r="C27" s="785"/>
      <c r="D27" s="785"/>
      <c r="E27" s="786"/>
      <c r="F27" s="512"/>
      <c r="G27" s="513"/>
      <c r="H27" s="513"/>
      <c r="I27" s="514">
        <f>I28</f>
        <v>6876844</v>
      </c>
      <c r="J27" s="515"/>
      <c r="K27" s="516"/>
      <c r="L27" s="516"/>
      <c r="M27" s="517"/>
      <c r="N27" s="514">
        <f t="shared" si="0"/>
        <v>6876844</v>
      </c>
    </row>
    <row r="28" spans="1:14" s="469" customFormat="1" ht="14.85" customHeight="1">
      <c r="A28" s="433"/>
      <c r="B28" s="462"/>
      <c r="C28" s="463" t="s">
        <v>404</v>
      </c>
      <c r="D28" s="463"/>
      <c r="E28" s="464"/>
      <c r="F28" s="422"/>
      <c r="G28" s="423"/>
      <c r="H28" s="423"/>
      <c r="I28" s="441">
        <v>6876844</v>
      </c>
      <c r="J28" s="442"/>
      <c r="K28" s="443"/>
      <c r="L28" s="443"/>
      <c r="M28" s="444"/>
      <c r="N28" s="441">
        <f t="shared" si="0"/>
        <v>6876844</v>
      </c>
    </row>
    <row r="29" spans="1:14" s="520" customFormat="1" ht="14.85" customHeight="1">
      <c r="A29" s="519"/>
      <c r="B29" s="785" t="s">
        <v>405</v>
      </c>
      <c r="C29" s="785"/>
      <c r="D29" s="785"/>
      <c r="E29" s="786"/>
      <c r="F29" s="512"/>
      <c r="G29" s="513"/>
      <c r="H29" s="513"/>
      <c r="I29" s="514">
        <f>I30</f>
        <v>74725</v>
      </c>
      <c r="J29" s="515"/>
      <c r="K29" s="516"/>
      <c r="L29" s="516"/>
      <c r="M29" s="517"/>
      <c r="N29" s="514">
        <f t="shared" si="0"/>
        <v>74725</v>
      </c>
    </row>
    <row r="30" spans="1:14" s="469" customFormat="1" ht="14.85" customHeight="1">
      <c r="A30" s="433"/>
      <c r="B30" s="462"/>
      <c r="C30" s="463" t="s">
        <v>405</v>
      </c>
      <c r="D30" s="463"/>
      <c r="E30" s="464"/>
      <c r="F30" s="422"/>
      <c r="G30" s="423"/>
      <c r="H30" s="423"/>
      <c r="I30" s="441">
        <v>74725</v>
      </c>
      <c r="J30" s="442"/>
      <c r="K30" s="443"/>
      <c r="L30" s="443"/>
      <c r="M30" s="444"/>
      <c r="N30" s="441">
        <f t="shared" si="0"/>
        <v>74725</v>
      </c>
    </row>
    <row r="31" spans="1:14" s="520" customFormat="1" ht="14.85" hidden="1" customHeight="1">
      <c r="A31" s="519"/>
      <c r="B31" s="528" t="s">
        <v>406</v>
      </c>
      <c r="C31" s="529"/>
      <c r="D31" s="529"/>
      <c r="E31" s="530"/>
      <c r="F31" s="512"/>
      <c r="G31" s="513"/>
      <c r="H31" s="513"/>
      <c r="I31" s="514">
        <f>I32</f>
        <v>0</v>
      </c>
      <c r="J31" s="515"/>
      <c r="K31" s="516"/>
      <c r="L31" s="516"/>
      <c r="M31" s="517"/>
      <c r="N31" s="514">
        <f t="shared" si="0"/>
        <v>0</v>
      </c>
    </row>
    <row r="32" spans="1:14" s="469" customFormat="1" ht="14.85" hidden="1" customHeight="1">
      <c r="A32" s="433"/>
      <c r="B32" s="462"/>
      <c r="C32" s="463" t="s">
        <v>407</v>
      </c>
      <c r="D32" s="463"/>
      <c r="E32" s="464"/>
      <c r="F32" s="422"/>
      <c r="G32" s="423"/>
      <c r="H32" s="423"/>
      <c r="I32" s="441"/>
      <c r="J32" s="442"/>
      <c r="K32" s="443"/>
      <c r="L32" s="443"/>
      <c r="M32" s="444"/>
      <c r="N32" s="441">
        <f t="shared" si="0"/>
        <v>0</v>
      </c>
    </row>
    <row r="33" spans="1:14" s="520" customFormat="1" ht="14.85" customHeight="1">
      <c r="A33" s="519"/>
      <c r="B33" s="785" t="s">
        <v>408</v>
      </c>
      <c r="C33" s="785"/>
      <c r="D33" s="785"/>
      <c r="E33" s="786"/>
      <c r="F33" s="512"/>
      <c r="G33" s="513"/>
      <c r="H33" s="513"/>
      <c r="I33" s="514">
        <f>I34</f>
        <v>340937</v>
      </c>
      <c r="J33" s="515"/>
      <c r="K33" s="516"/>
      <c r="L33" s="516"/>
      <c r="M33" s="517"/>
      <c r="N33" s="514">
        <f t="shared" si="0"/>
        <v>340937</v>
      </c>
    </row>
    <row r="34" spans="1:14" s="469" customFormat="1" ht="14.85" customHeight="1">
      <c r="A34" s="433"/>
      <c r="B34" s="436"/>
      <c r="C34" s="437" t="s">
        <v>409</v>
      </c>
      <c r="D34" s="437"/>
      <c r="E34" s="438"/>
      <c r="F34" s="433"/>
      <c r="G34" s="434"/>
      <c r="H34" s="434"/>
      <c r="I34" s="441">
        <v>340937</v>
      </c>
      <c r="J34" s="432"/>
      <c r="K34" s="436"/>
      <c r="L34" s="436"/>
      <c r="M34" s="440"/>
      <c r="N34" s="441">
        <f t="shared" si="0"/>
        <v>340937</v>
      </c>
    </row>
    <row r="35" spans="1:14" s="520" customFormat="1" ht="14.85" hidden="1" customHeight="1">
      <c r="A35" s="519"/>
      <c r="B35" s="521" t="s">
        <v>410</v>
      </c>
      <c r="C35" s="522"/>
      <c r="D35" s="522"/>
      <c r="E35" s="523"/>
      <c r="F35" s="519"/>
      <c r="G35" s="524"/>
      <c r="H35" s="524"/>
      <c r="I35" s="514">
        <f>I36</f>
        <v>0</v>
      </c>
      <c r="J35" s="518"/>
      <c r="K35" s="521"/>
      <c r="L35" s="521"/>
      <c r="M35" s="526"/>
      <c r="N35" s="514">
        <f t="shared" si="0"/>
        <v>0</v>
      </c>
    </row>
    <row r="36" spans="1:14" s="469" customFormat="1" ht="14.85" hidden="1" customHeight="1">
      <c r="A36" s="433"/>
      <c r="B36" s="436"/>
      <c r="C36" s="437" t="s">
        <v>410</v>
      </c>
      <c r="D36" s="437"/>
      <c r="E36" s="438"/>
      <c r="F36" s="433"/>
      <c r="G36" s="434"/>
      <c r="H36" s="434"/>
      <c r="I36" s="441"/>
      <c r="J36" s="432"/>
      <c r="K36" s="436"/>
      <c r="L36" s="436"/>
      <c r="M36" s="440"/>
      <c r="N36" s="441">
        <f t="shared" si="0"/>
        <v>0</v>
      </c>
    </row>
    <row r="37" spans="1:14" s="520" customFormat="1" ht="14.85" customHeight="1">
      <c r="A37" s="800" t="s">
        <v>411</v>
      </c>
      <c r="B37" s="801"/>
      <c r="C37" s="802"/>
      <c r="D37" s="802"/>
      <c r="E37" s="527"/>
      <c r="F37" s="512"/>
      <c r="G37" s="513"/>
      <c r="H37" s="513"/>
      <c r="I37" s="514">
        <f>I14-I26</f>
        <v>-1023506</v>
      </c>
      <c r="J37" s="515"/>
      <c r="K37" s="516"/>
      <c r="L37" s="516"/>
      <c r="M37" s="517"/>
      <c r="N37" s="514">
        <f t="shared" si="0"/>
        <v>-1023506</v>
      </c>
    </row>
    <row r="38" spans="1:14" s="469" customFormat="1" ht="14.85" customHeight="1">
      <c r="A38" s="795" t="s">
        <v>330</v>
      </c>
      <c r="B38" s="796"/>
      <c r="C38" s="796"/>
      <c r="D38" s="796"/>
      <c r="E38" s="435"/>
      <c r="F38" s="345"/>
      <c r="G38" s="346"/>
      <c r="H38" s="347"/>
      <c r="I38" s="441"/>
      <c r="J38" s="442"/>
      <c r="K38" s="443"/>
      <c r="L38" s="443"/>
      <c r="M38" s="444"/>
      <c r="N38" s="561">
        <f>I38+[2]收支!N40</f>
        <v>65820431</v>
      </c>
    </row>
    <row r="39" spans="1:14" s="469" customFormat="1" ht="14.85" customHeight="1">
      <c r="A39" s="795" t="s">
        <v>331</v>
      </c>
      <c r="B39" s="796"/>
      <c r="C39" s="796"/>
      <c r="D39" s="796"/>
      <c r="E39" s="435"/>
      <c r="F39" s="348"/>
      <c r="G39" s="346"/>
      <c r="H39" s="349"/>
      <c r="I39" s="441"/>
      <c r="J39" s="432"/>
      <c r="K39" s="436"/>
      <c r="L39" s="436"/>
      <c r="M39" s="440"/>
      <c r="N39" s="441">
        <f>I39+[2]收支!N39</f>
        <v>0</v>
      </c>
    </row>
    <row r="40" spans="1:14" s="469" customFormat="1" ht="14.85" customHeight="1">
      <c r="A40" s="795" t="s">
        <v>699</v>
      </c>
      <c r="B40" s="796"/>
      <c r="C40" s="796"/>
      <c r="D40" s="796"/>
      <c r="E40" s="435"/>
      <c r="F40" s="348"/>
      <c r="G40" s="346"/>
      <c r="H40" s="349"/>
      <c r="I40" s="441"/>
      <c r="J40" s="432"/>
      <c r="K40" s="436"/>
      <c r="L40" s="436"/>
      <c r="M40" s="440"/>
      <c r="N40" s="441"/>
    </row>
    <row r="41" spans="1:14" s="502" customFormat="1" ht="14.85" customHeight="1">
      <c r="A41" s="797" t="s">
        <v>412</v>
      </c>
      <c r="B41" s="798"/>
      <c r="C41" s="798"/>
      <c r="D41" s="798"/>
      <c r="E41" s="494"/>
      <c r="F41" s="495"/>
      <c r="G41" s="496"/>
      <c r="H41" s="497"/>
      <c r="I41" s="498"/>
      <c r="J41" s="499"/>
      <c r="K41" s="500"/>
      <c r="L41" s="500"/>
      <c r="M41" s="501"/>
      <c r="N41" s="498">
        <f>N37+N38-N39</f>
        <v>64796925</v>
      </c>
    </row>
    <row r="42" spans="1:14" s="468" customFormat="1" ht="12.75" hidden="1" customHeight="1">
      <c r="A42" s="350"/>
      <c r="B42" s="350"/>
      <c r="C42" s="350"/>
      <c r="D42" s="350"/>
      <c r="E42" s="469"/>
      <c r="F42" s="469"/>
      <c r="G42" s="469"/>
      <c r="H42" s="469"/>
      <c r="I42" s="469">
        <v>0</v>
      </c>
    </row>
    <row r="43" spans="1:14" s="469" customFormat="1" ht="16.5">
      <c r="A43" s="350" t="s">
        <v>413</v>
      </c>
      <c r="B43" s="350"/>
      <c r="C43" s="350" t="s">
        <v>462</v>
      </c>
      <c r="D43" s="350"/>
    </row>
  </sheetData>
  <mergeCells count="21">
    <mergeCell ref="A39:D39"/>
    <mergeCell ref="A41:D41"/>
    <mergeCell ref="A26:D26"/>
    <mergeCell ref="B27:E27"/>
    <mergeCell ref="B33:E33"/>
    <mergeCell ref="A37:D37"/>
    <mergeCell ref="A38:D38"/>
    <mergeCell ref="B29:E29"/>
    <mergeCell ref="A40:D40"/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</mergeCells>
  <phoneticPr fontId="10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&amp;R175-8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4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G23" sqref="G23"/>
      <selection pane="topRight" activeCell="G23" sqref="G23"/>
      <selection pane="bottomLeft" activeCell="G23" sqref="G23"/>
      <selection pane="bottomRight" activeCell="E37" sqref="E37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717" t="str">
        <f>封面!$A$4</f>
        <v>彰化縣地方教育發展基金－彰化縣秀水鄉馬興國民小學</v>
      </c>
      <c r="B1" s="717"/>
      <c r="C1" s="717"/>
      <c r="D1" s="717"/>
      <c r="E1" s="717"/>
      <c r="F1" s="717"/>
      <c r="G1" s="626"/>
      <c r="H1" s="626"/>
      <c r="I1" s="626"/>
    </row>
    <row r="2" spans="1:10" ht="19.5" hidden="1" customHeight="1">
      <c r="A2" s="326"/>
      <c r="B2" s="326"/>
      <c r="C2" s="326"/>
      <c r="D2" s="326"/>
      <c r="E2" s="326"/>
      <c r="F2" s="326"/>
    </row>
    <row r="3" spans="1:10" ht="14.25" hidden="1" customHeight="1"/>
    <row r="4" spans="1:10" ht="21">
      <c r="A4" s="733" t="s">
        <v>311</v>
      </c>
      <c r="B4" s="733"/>
      <c r="C4" s="733"/>
      <c r="D4" s="733"/>
      <c r="E4" s="733"/>
      <c r="F4" s="733"/>
      <c r="G4" s="626"/>
      <c r="H4" s="626"/>
      <c r="I4" s="626"/>
    </row>
    <row r="5" spans="1:10" ht="6.75" customHeight="1"/>
    <row r="6" spans="1:10" ht="16.5">
      <c r="A6" s="718" t="str">
        <f>封面!$E$10&amp;封面!$H$10&amp;封面!$I$10&amp;封面!$J$10&amp;封面!$K$10&amp;封面!L10</f>
        <v>中華民國113年1月份</v>
      </c>
      <c r="B6" s="718"/>
      <c r="C6" s="718"/>
      <c r="D6" s="718"/>
      <c r="E6" s="718"/>
      <c r="F6" s="718"/>
      <c r="G6" s="626"/>
      <c r="H6" s="626"/>
      <c r="I6" s="626"/>
    </row>
    <row r="7" spans="1:10" ht="16.5">
      <c r="A7" s="659" t="s">
        <v>39</v>
      </c>
      <c r="B7" s="659"/>
      <c r="C7" s="659"/>
      <c r="D7" s="659"/>
      <c r="E7" s="659"/>
      <c r="F7" s="659"/>
      <c r="G7" s="626"/>
      <c r="H7" s="626"/>
      <c r="I7" s="626"/>
    </row>
    <row r="8" spans="1:10" ht="6" customHeight="1"/>
    <row r="9" spans="1:10" s="351" customFormat="1" ht="42.75" customHeight="1">
      <c r="A9" s="791" t="s">
        <v>312</v>
      </c>
      <c r="B9" s="791"/>
      <c r="C9" s="352" t="s">
        <v>313</v>
      </c>
      <c r="D9" s="353" t="s">
        <v>314</v>
      </c>
      <c r="E9" s="353" t="s">
        <v>315</v>
      </c>
      <c r="F9" s="353"/>
      <c r="G9" s="791" t="s">
        <v>316</v>
      </c>
      <c r="H9" s="749"/>
      <c r="I9" s="749"/>
    </row>
    <row r="10" spans="1:10" s="331" customFormat="1" ht="12.75" hidden="1" customHeight="1">
      <c r="A10" s="354"/>
      <c r="B10" s="354"/>
      <c r="C10" s="355"/>
      <c r="D10" s="355"/>
      <c r="E10" s="328"/>
      <c r="F10" s="328"/>
      <c r="G10" s="806" t="s">
        <v>316</v>
      </c>
      <c r="H10" s="767"/>
      <c r="I10" s="767"/>
    </row>
    <row r="11" spans="1:10" s="331" customFormat="1" ht="12.75" hidden="1" customHeight="1">
      <c r="A11" s="354"/>
      <c r="B11" s="354"/>
      <c r="C11" s="355"/>
      <c r="D11" s="355"/>
      <c r="E11" s="355"/>
      <c r="F11" s="355"/>
      <c r="G11" s="806" t="s">
        <v>316</v>
      </c>
      <c r="H11" s="767"/>
      <c r="I11" s="767"/>
    </row>
    <row r="12" spans="1:10" s="331" customFormat="1" ht="9" hidden="1" customHeight="1">
      <c r="A12" s="354"/>
      <c r="B12" s="354"/>
      <c r="C12" s="355"/>
      <c r="D12" s="355"/>
      <c r="E12" s="355"/>
      <c r="F12" s="355"/>
      <c r="G12" s="806" t="s">
        <v>316</v>
      </c>
      <c r="H12" s="767"/>
      <c r="I12" s="767"/>
    </row>
    <row r="13" spans="1:10" s="468" customFormat="1" ht="16.5">
      <c r="A13" s="808" t="s">
        <v>414</v>
      </c>
      <c r="B13" s="808"/>
      <c r="C13" s="452">
        <f>SUM(C14:C17)</f>
        <v>6269000</v>
      </c>
      <c r="D13" s="452">
        <f t="shared" ref="D13:E13" si="0">SUM(D14:D17)</f>
        <v>0</v>
      </c>
      <c r="E13" s="452">
        <f t="shared" si="0"/>
        <v>6269000</v>
      </c>
      <c r="F13" s="356"/>
      <c r="G13" s="804" t="s">
        <v>415</v>
      </c>
      <c r="H13" s="807"/>
      <c r="I13" s="805"/>
      <c r="J13" s="468">
        <f>D13</f>
        <v>0</v>
      </c>
    </row>
    <row r="14" spans="1:10" s="468" customFormat="1" ht="16.5" hidden="1">
      <c r="A14" s="343"/>
      <c r="B14" s="466" t="s">
        <v>416</v>
      </c>
      <c r="C14" s="445"/>
      <c r="D14" s="445"/>
      <c r="E14" s="453">
        <f>C14+D14</f>
        <v>0</v>
      </c>
      <c r="F14" s="356"/>
      <c r="G14" s="344"/>
      <c r="H14" s="807" t="s">
        <v>416</v>
      </c>
      <c r="I14" s="805"/>
      <c r="J14" s="468">
        <f t="shared" ref="J14:J32" si="1">D14</f>
        <v>0</v>
      </c>
    </row>
    <row r="15" spans="1:10" s="468" customFormat="1" ht="16.5" hidden="1">
      <c r="A15" s="343"/>
      <c r="B15" s="466" t="s">
        <v>417</v>
      </c>
      <c r="C15" s="445"/>
      <c r="D15" s="445"/>
      <c r="E15" s="453">
        <f t="shared" ref="E15:E16" si="2">C15+D15</f>
        <v>0</v>
      </c>
      <c r="F15" s="356"/>
      <c r="G15" s="344"/>
      <c r="H15" s="807" t="s">
        <v>418</v>
      </c>
      <c r="I15" s="805"/>
      <c r="J15" s="468">
        <f t="shared" si="1"/>
        <v>0</v>
      </c>
    </row>
    <row r="16" spans="1:10" s="468" customFormat="1" ht="16.5">
      <c r="A16" s="343"/>
      <c r="B16" s="466" t="s">
        <v>419</v>
      </c>
      <c r="C16" s="445">
        <v>6269000</v>
      </c>
      <c r="D16" s="445"/>
      <c r="E16" s="453">
        <f t="shared" si="2"/>
        <v>6269000</v>
      </c>
      <c r="F16" s="356"/>
      <c r="G16" s="344"/>
      <c r="H16" s="807" t="s">
        <v>20</v>
      </c>
      <c r="I16" s="805"/>
      <c r="J16" s="468">
        <f t="shared" si="1"/>
        <v>0</v>
      </c>
    </row>
    <row r="17" spans="1:10" s="469" customFormat="1" ht="16.5" hidden="1">
      <c r="A17" s="343"/>
      <c r="B17" s="466" t="s">
        <v>420</v>
      </c>
      <c r="C17" s="445"/>
      <c r="D17" s="445"/>
      <c r="E17" s="453">
        <f>C17+D17</f>
        <v>0</v>
      </c>
      <c r="F17" s="356"/>
      <c r="G17" s="344"/>
      <c r="H17" s="807" t="s">
        <v>421</v>
      </c>
      <c r="I17" s="805"/>
      <c r="J17" s="468">
        <f t="shared" si="1"/>
        <v>0</v>
      </c>
    </row>
    <row r="18" spans="1:10" s="469" customFormat="1" ht="16.5">
      <c r="A18" s="804" t="s">
        <v>422</v>
      </c>
      <c r="B18" s="805"/>
      <c r="C18" s="454">
        <f>SUM(C19:C27)</f>
        <v>6951569</v>
      </c>
      <c r="D18" s="454">
        <f t="shared" ref="D18:E18" si="3">SUM(D19:D27)</f>
        <v>340937</v>
      </c>
      <c r="E18" s="454">
        <f t="shared" si="3"/>
        <v>7292506</v>
      </c>
      <c r="F18" s="357"/>
      <c r="G18" s="804" t="s">
        <v>423</v>
      </c>
      <c r="H18" s="807"/>
      <c r="I18" s="805"/>
      <c r="J18" s="468">
        <f t="shared" si="1"/>
        <v>340937</v>
      </c>
    </row>
    <row r="19" spans="1:10" s="469" customFormat="1" ht="16.5">
      <c r="A19" s="343"/>
      <c r="B19" s="466" t="s">
        <v>424</v>
      </c>
      <c r="C19" s="445">
        <v>6876844</v>
      </c>
      <c r="D19" s="445"/>
      <c r="E19" s="453">
        <f>C19+D19</f>
        <v>6876844</v>
      </c>
      <c r="F19" s="356"/>
      <c r="G19" s="344"/>
      <c r="H19" s="807" t="s">
        <v>425</v>
      </c>
      <c r="I19" s="805"/>
      <c r="J19" s="468">
        <f t="shared" si="1"/>
        <v>0</v>
      </c>
    </row>
    <row r="20" spans="1:10" s="469" customFormat="1" ht="16.5">
      <c r="A20" s="343"/>
      <c r="B20" s="466" t="s">
        <v>426</v>
      </c>
      <c r="C20" s="445">
        <v>63465</v>
      </c>
      <c r="D20" s="445">
        <v>11260</v>
      </c>
      <c r="E20" s="453">
        <f>C20+D20</f>
        <v>74725</v>
      </c>
      <c r="F20" s="356"/>
      <c r="G20" s="344"/>
      <c r="H20" s="465" t="s">
        <v>427</v>
      </c>
      <c r="I20" s="466"/>
      <c r="J20" s="468"/>
    </row>
    <row r="21" spans="1:10" s="469" customFormat="1" ht="16.5">
      <c r="A21" s="343"/>
      <c r="B21" s="466" t="s">
        <v>428</v>
      </c>
      <c r="C21" s="445">
        <v>11260</v>
      </c>
      <c r="D21" s="445">
        <v>-11260</v>
      </c>
      <c r="E21" s="453">
        <f t="shared" ref="E21:E32" si="4">C21+D21</f>
        <v>0</v>
      </c>
      <c r="F21" s="356"/>
      <c r="G21" s="344"/>
      <c r="H21" s="465"/>
      <c r="I21" s="466"/>
      <c r="J21" s="468"/>
    </row>
    <row r="22" spans="1:10" s="469" customFormat="1" ht="16.5" hidden="1">
      <c r="A22" s="343"/>
      <c r="B22" s="466" t="s">
        <v>429</v>
      </c>
      <c r="C22" s="445"/>
      <c r="D22" s="445"/>
      <c r="E22" s="453">
        <f t="shared" si="4"/>
        <v>0</v>
      </c>
      <c r="F22" s="356"/>
      <c r="G22" s="344"/>
      <c r="H22" s="465"/>
      <c r="I22" s="466"/>
      <c r="J22" s="468"/>
    </row>
    <row r="23" spans="1:10" s="469" customFormat="1" ht="16.5" hidden="1">
      <c r="A23" s="343"/>
      <c r="B23" s="466" t="s">
        <v>430</v>
      </c>
      <c r="C23" s="445"/>
      <c r="D23" s="445"/>
      <c r="E23" s="453">
        <f t="shared" si="4"/>
        <v>0</v>
      </c>
      <c r="F23" s="356"/>
      <c r="G23" s="344"/>
      <c r="H23" s="465"/>
      <c r="I23" s="466"/>
      <c r="J23" s="468"/>
    </row>
    <row r="24" spans="1:10" s="469" customFormat="1" ht="33" hidden="1">
      <c r="A24" s="343"/>
      <c r="B24" s="466" t="s">
        <v>431</v>
      </c>
      <c r="C24" s="445"/>
      <c r="D24" s="445"/>
      <c r="E24" s="453">
        <f t="shared" si="4"/>
        <v>0</v>
      </c>
      <c r="F24" s="356"/>
      <c r="G24" s="344"/>
      <c r="H24" s="465"/>
      <c r="I24" s="466"/>
      <c r="J24" s="468"/>
    </row>
    <row r="25" spans="1:10" s="469" customFormat="1" ht="16.5" hidden="1">
      <c r="A25" s="343"/>
      <c r="B25" s="466"/>
      <c r="C25" s="445"/>
      <c r="D25" s="445"/>
      <c r="E25" s="453">
        <f t="shared" si="4"/>
        <v>0</v>
      </c>
      <c r="F25" s="356"/>
      <c r="G25" s="344"/>
      <c r="H25" s="465" t="s">
        <v>432</v>
      </c>
      <c r="I25" s="466"/>
      <c r="J25" s="468"/>
    </row>
    <row r="26" spans="1:10" s="469" customFormat="1" ht="16.5">
      <c r="A26" s="343"/>
      <c r="B26" s="359"/>
      <c r="C26" s="445"/>
      <c r="D26" s="445">
        <v>340937</v>
      </c>
      <c r="E26" s="453">
        <f t="shared" si="4"/>
        <v>340937</v>
      </c>
      <c r="F26" s="356"/>
      <c r="G26" s="344"/>
      <c r="H26" s="807" t="s">
        <v>433</v>
      </c>
      <c r="I26" s="805"/>
      <c r="J26" s="468">
        <f t="shared" si="1"/>
        <v>340937</v>
      </c>
    </row>
    <row r="27" spans="1:10" s="469" customFormat="1" ht="16.5" hidden="1">
      <c r="A27" s="343"/>
      <c r="B27" s="359" t="s">
        <v>434</v>
      </c>
      <c r="C27" s="445"/>
      <c r="D27" s="445"/>
      <c r="E27" s="453">
        <f t="shared" si="4"/>
        <v>0</v>
      </c>
      <c r="F27" s="356"/>
      <c r="G27" s="344"/>
      <c r="H27" s="465" t="s">
        <v>435</v>
      </c>
      <c r="I27" s="466"/>
      <c r="J27" s="468"/>
    </row>
    <row r="28" spans="1:10" s="469" customFormat="1" ht="16.5">
      <c r="A28" s="803" t="s">
        <v>332</v>
      </c>
      <c r="B28" s="803"/>
      <c r="C28" s="452">
        <f>C13-C18</f>
        <v>-682569</v>
      </c>
      <c r="D28" s="452">
        <f t="shared" ref="D28:E28" si="5">D13-D18</f>
        <v>-340937</v>
      </c>
      <c r="E28" s="452">
        <f t="shared" si="5"/>
        <v>-1023506</v>
      </c>
      <c r="F28" s="356"/>
      <c r="G28" s="809" t="s">
        <v>332</v>
      </c>
      <c r="H28" s="810"/>
      <c r="I28" s="811"/>
      <c r="J28" s="468">
        <f t="shared" si="1"/>
        <v>-340937</v>
      </c>
    </row>
    <row r="29" spans="1:10" s="469" customFormat="1" ht="16.5">
      <c r="A29" s="803" t="s">
        <v>24</v>
      </c>
      <c r="B29" s="803"/>
      <c r="C29" s="560">
        <f>[2]對照表!C31</f>
        <v>3251942</v>
      </c>
      <c r="D29" s="560">
        <f>[2]對照表!D31</f>
        <v>62568489</v>
      </c>
      <c r="E29" s="454">
        <f t="shared" si="4"/>
        <v>65820431</v>
      </c>
      <c r="F29" s="357"/>
      <c r="G29" s="809" t="s">
        <v>330</v>
      </c>
      <c r="H29" s="810"/>
      <c r="I29" s="811"/>
      <c r="J29" s="468">
        <f t="shared" si="1"/>
        <v>62568489</v>
      </c>
    </row>
    <row r="30" spans="1:10" s="469" customFormat="1" ht="16.5">
      <c r="A30" s="803" t="s">
        <v>331</v>
      </c>
      <c r="B30" s="803"/>
      <c r="C30" s="451"/>
      <c r="D30" s="451"/>
      <c r="E30" s="452">
        <f t="shared" si="4"/>
        <v>0</v>
      </c>
      <c r="F30" s="356"/>
      <c r="G30" s="809" t="s">
        <v>331</v>
      </c>
      <c r="H30" s="810"/>
      <c r="I30" s="811"/>
      <c r="J30" s="468">
        <f t="shared" si="1"/>
        <v>0</v>
      </c>
    </row>
    <row r="31" spans="1:10" s="469" customFormat="1" ht="16.5">
      <c r="A31" s="613"/>
      <c r="B31" s="613"/>
      <c r="C31" s="451"/>
      <c r="D31" s="451"/>
      <c r="E31" s="453">
        <f t="shared" si="4"/>
        <v>0</v>
      </c>
      <c r="F31" s="356"/>
      <c r="G31" s="809" t="s">
        <v>699</v>
      </c>
      <c r="H31" s="816"/>
      <c r="I31" s="817"/>
      <c r="J31" s="468"/>
    </row>
    <row r="32" spans="1:10" s="469" customFormat="1" ht="16.5">
      <c r="A32" s="812" t="s">
        <v>26</v>
      </c>
      <c r="B32" s="812"/>
      <c r="C32" s="455">
        <f>C28+C29-C30</f>
        <v>2569373</v>
      </c>
      <c r="D32" s="455">
        <f t="shared" ref="D32" si="6">D28+D29-D30</f>
        <v>62227552</v>
      </c>
      <c r="E32" s="455">
        <f t="shared" si="4"/>
        <v>64796925</v>
      </c>
      <c r="F32" s="358"/>
      <c r="G32" s="813" t="s">
        <v>333</v>
      </c>
      <c r="H32" s="814"/>
      <c r="I32" s="815"/>
      <c r="J32" s="468">
        <f t="shared" si="1"/>
        <v>62227552</v>
      </c>
    </row>
    <row r="33" spans="1:8" s="468" customFormat="1" ht="12.75" hidden="1" customHeight="1">
      <c r="A33" s="469"/>
      <c r="B33" s="469"/>
      <c r="C33" s="469"/>
      <c r="D33" s="469"/>
      <c r="E33" s="469"/>
      <c r="F33" s="469"/>
      <c r="G33" s="469"/>
      <c r="H33" s="469"/>
    </row>
    <row r="34" spans="1:8" s="469" customFormat="1" ht="19.5" customHeight="1">
      <c r="A34" s="350" t="s">
        <v>436</v>
      </c>
    </row>
  </sheetData>
  <mergeCells count="28">
    <mergeCell ref="A29:B29"/>
    <mergeCell ref="G29:I29"/>
    <mergeCell ref="A30:B30"/>
    <mergeCell ref="G30:I30"/>
    <mergeCell ref="A32:B32"/>
    <mergeCell ref="G32:I32"/>
    <mergeCell ref="G31:I31"/>
    <mergeCell ref="H17:I17"/>
    <mergeCell ref="H16:I16"/>
    <mergeCell ref="G18:I18"/>
    <mergeCell ref="H19:I19"/>
    <mergeCell ref="H26:I26"/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&amp;R175-9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view="pageBreakPreview" zoomScaleNormal="90" workbookViewId="0">
      <selection activeCell="B17" sqref="B17"/>
    </sheetView>
  </sheetViews>
  <sheetFormatPr defaultColWidth="9.140625" defaultRowHeight="15.75"/>
  <cols>
    <col min="1" max="1" width="74.28515625" style="23" customWidth="1"/>
    <col min="2" max="2" width="23.7109375" style="28" customWidth="1"/>
    <col min="3" max="3" width="24" style="23" customWidth="1"/>
    <col min="4" max="4" width="16.140625" style="23" bestFit="1" customWidth="1"/>
    <col min="5" max="5" width="14.7109375" style="23" customWidth="1"/>
    <col min="6" max="16384" width="9.140625" style="23"/>
  </cols>
  <sheetData>
    <row r="1" spans="1:5" ht="25.5">
      <c r="A1" s="819" t="str">
        <f>封面!$A$4</f>
        <v>彰化縣地方教育發展基金－彰化縣秀水鄉馬興國民小學</v>
      </c>
      <c r="B1" s="820"/>
      <c r="C1" s="820"/>
    </row>
    <row r="2" spans="1:5" ht="25.5" customHeight="1">
      <c r="A2" s="821" t="s">
        <v>70</v>
      </c>
      <c r="B2" s="821"/>
      <c r="C2" s="821"/>
    </row>
    <row r="3" spans="1:5" ht="24" customHeight="1">
      <c r="A3" s="822" t="str">
        <f>封面!$E$10&amp;封面!$H$10&amp;封面!$I$10&amp;封面!$J$10&amp;封面!$K$10&amp;封面!$O$10&amp;"日"</f>
        <v>中華民國113年1月31日</v>
      </c>
      <c r="B3" s="822"/>
      <c r="C3" s="822"/>
    </row>
    <row r="4" spans="1:5" s="25" customFormat="1" ht="23.25" customHeight="1">
      <c r="A4" s="823"/>
      <c r="B4" s="823" t="s">
        <v>71</v>
      </c>
      <c r="C4" s="823"/>
    </row>
    <row r="5" spans="1:5" s="25" customFormat="1" ht="23.25" customHeight="1">
      <c r="A5" s="823"/>
      <c r="B5" s="26" t="s">
        <v>72</v>
      </c>
      <c r="C5" s="24" t="s">
        <v>73</v>
      </c>
    </row>
    <row r="6" spans="1:5" ht="24" customHeight="1">
      <c r="A6" s="27" t="s">
        <v>74</v>
      </c>
      <c r="B6" s="110"/>
      <c r="C6" s="111">
        <f>B7</f>
        <v>2529373</v>
      </c>
    </row>
    <row r="7" spans="1:5" ht="24" customHeight="1">
      <c r="A7" s="217" t="s">
        <v>196</v>
      </c>
      <c r="B7" s="110">
        <f>VLOOKUP("銀行存款-縣庫存款",平衡!$E$13:$H$41,4,0)</f>
        <v>2529373</v>
      </c>
      <c r="C7" s="112"/>
    </row>
    <row r="8" spans="1:5" ht="24" customHeight="1">
      <c r="A8" s="103" t="s">
        <v>152</v>
      </c>
      <c r="B8" s="110"/>
      <c r="C8" s="375">
        <f>SUM(B9:B14)</f>
        <v>0</v>
      </c>
    </row>
    <row r="9" spans="1:5" ht="24" hidden="1" customHeight="1">
      <c r="A9" s="27" t="s">
        <v>75</v>
      </c>
      <c r="B9" s="110"/>
      <c r="C9" s="112"/>
    </row>
    <row r="10" spans="1:5" ht="24" hidden="1" customHeight="1">
      <c r="A10" s="27" t="s">
        <v>76</v>
      </c>
      <c r="B10" s="110"/>
      <c r="C10" s="112"/>
    </row>
    <row r="11" spans="1:5" ht="24" customHeight="1">
      <c r="A11" s="218"/>
      <c r="B11" s="110"/>
      <c r="C11" s="112"/>
    </row>
    <row r="12" spans="1:5" ht="24" customHeight="1">
      <c r="A12" s="218"/>
      <c r="B12" s="110"/>
      <c r="C12" s="112"/>
    </row>
    <row r="13" spans="1:5" ht="24" customHeight="1">
      <c r="A13" s="218"/>
      <c r="B13" s="110"/>
      <c r="C13" s="361"/>
      <c r="D13" s="362"/>
      <c r="E13" s="362"/>
    </row>
    <row r="14" spans="1:5" ht="24" customHeight="1">
      <c r="A14" s="218"/>
      <c r="B14" s="110"/>
      <c r="C14" s="361"/>
      <c r="D14" s="362"/>
      <c r="E14" s="362"/>
    </row>
    <row r="15" spans="1:5" ht="24" customHeight="1">
      <c r="A15" s="27" t="s">
        <v>77</v>
      </c>
      <c r="B15" s="110"/>
      <c r="C15" s="375">
        <f>SUM(B16:B17)</f>
        <v>2892000</v>
      </c>
      <c r="D15" s="362"/>
      <c r="E15" s="362"/>
    </row>
    <row r="16" spans="1:5" ht="24" customHeight="1">
      <c r="A16" s="278" t="str">
        <f>IF(B16&gt;0,封面!J10+1&amp;"月公庫撥款收入","")</f>
        <v>2月公庫撥款收入</v>
      </c>
      <c r="B16" s="110">
        <f>縣庫對帳!G15</f>
        <v>2892000</v>
      </c>
      <c r="C16" s="361"/>
      <c r="D16" s="362"/>
      <c r="E16" s="362"/>
    </row>
    <row r="17" spans="1:5" ht="24" customHeight="1">
      <c r="A17" s="217"/>
      <c r="B17" s="110"/>
      <c r="C17" s="361"/>
      <c r="D17" s="362"/>
      <c r="E17" s="362"/>
    </row>
    <row r="18" spans="1:5" ht="24" customHeight="1">
      <c r="A18" s="27" t="s">
        <v>78</v>
      </c>
      <c r="B18" s="110"/>
      <c r="C18" s="375">
        <f>SUM(B19:B20)</f>
        <v>0</v>
      </c>
      <c r="D18" s="362"/>
      <c r="E18" s="362"/>
    </row>
    <row r="19" spans="1:5" ht="24" customHeight="1">
      <c r="A19" s="218"/>
      <c r="B19" s="110"/>
      <c r="C19" s="361"/>
      <c r="D19" s="362"/>
      <c r="E19" s="362"/>
    </row>
    <row r="20" spans="1:5" ht="24" customHeight="1">
      <c r="A20" s="217"/>
      <c r="B20" s="110"/>
      <c r="C20" s="361"/>
      <c r="D20" s="362"/>
      <c r="E20" s="362"/>
    </row>
    <row r="21" spans="1:5" ht="24" customHeight="1">
      <c r="A21" s="27" t="s">
        <v>79</v>
      </c>
      <c r="B21" s="110"/>
      <c r="C21" s="375">
        <f>SUM(B22:B23)</f>
        <v>0</v>
      </c>
      <c r="D21" s="362"/>
      <c r="E21" s="362"/>
    </row>
    <row r="22" spans="1:5" ht="24" customHeight="1">
      <c r="A22" s="217"/>
      <c r="B22" s="110"/>
      <c r="C22" s="361"/>
      <c r="D22" s="362"/>
      <c r="E22" s="362"/>
    </row>
    <row r="23" spans="1:5" ht="24" customHeight="1">
      <c r="A23" s="217"/>
      <c r="B23" s="110"/>
      <c r="C23" s="112"/>
    </row>
    <row r="24" spans="1:5" ht="24" customHeight="1">
      <c r="A24" s="27" t="s">
        <v>183</v>
      </c>
      <c r="B24" s="110"/>
      <c r="C24" s="111">
        <f>C6+C8+C15-C18-C21</f>
        <v>5421373</v>
      </c>
      <c r="D24" s="23">
        <f>VLOOKUP(1,縣庫對帳!$A$4:$L$100,12)</f>
        <v>5421373</v>
      </c>
      <c r="E24" s="23">
        <f>C24-D24</f>
        <v>0</v>
      </c>
    </row>
    <row r="25" spans="1:5" ht="24" customHeight="1">
      <c r="A25" s="217"/>
      <c r="B25" s="110"/>
      <c r="C25" s="112"/>
    </row>
    <row r="27" spans="1:5">
      <c r="A27" s="818"/>
      <c r="B27" s="818"/>
      <c r="C27" s="818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8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&amp;R175-10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G23" sqref="G23"/>
      <selection pane="topRight" activeCell="G23" sqref="G23"/>
      <selection pane="bottomLeft" activeCell="G23" sqref="G23"/>
      <selection pane="bottomRight" activeCell="A18" sqref="A18"/>
    </sheetView>
  </sheetViews>
  <sheetFormatPr defaultColWidth="9.140625" defaultRowHeight="16.5"/>
  <cols>
    <col min="1" max="1" width="3.42578125" style="70" bestFit="1" customWidth="1"/>
    <col min="2" max="2" width="18.7109375" style="52" customWidth="1"/>
    <col min="3" max="3" width="17.7109375" style="52" customWidth="1"/>
    <col min="4" max="4" width="10.7109375" style="52" customWidth="1"/>
    <col min="5" max="5" width="16.5703125" style="53" bestFit="1" customWidth="1"/>
    <col min="6" max="6" width="8.140625" style="53" customWidth="1"/>
    <col min="7" max="7" width="9.7109375" style="30" bestFit="1" customWidth="1"/>
    <col min="8" max="8" width="10.28515625" style="30" bestFit="1" customWidth="1"/>
    <col min="9" max="9" width="12.140625" style="30" customWidth="1"/>
    <col min="10" max="10" width="12.7109375" style="30" customWidth="1"/>
    <col min="11" max="12" width="11.5703125" style="30" customWidth="1"/>
    <col min="13" max="13" width="11.140625" style="30" bestFit="1" customWidth="1"/>
    <col min="14" max="14" width="13.42578125" style="29" bestFit="1" customWidth="1"/>
    <col min="15" max="15" width="11.140625" style="29" bestFit="1" customWidth="1"/>
    <col min="16" max="16" width="12.42578125" style="29" bestFit="1" customWidth="1"/>
    <col min="17" max="17" width="4.85546875" style="554" customWidth="1"/>
    <col min="18" max="18" width="9.140625" style="29"/>
    <col min="19" max="19" width="13.140625" style="29" bestFit="1" customWidth="1"/>
    <col min="20" max="16384" width="9.140625" style="29"/>
  </cols>
  <sheetData>
    <row r="1" spans="1:22" s="56" customFormat="1" ht="27.75" customHeight="1">
      <c r="A1" s="158"/>
      <c r="B1" s="824" t="s">
        <v>80</v>
      </c>
      <c r="C1" s="824"/>
      <c r="D1" s="824"/>
      <c r="E1" s="824"/>
      <c r="F1" s="824"/>
      <c r="G1" s="824"/>
      <c r="H1" s="824"/>
      <c r="I1" s="824"/>
      <c r="J1" s="824"/>
      <c r="K1" s="824"/>
      <c r="L1" s="824"/>
      <c r="M1" s="146"/>
      <c r="N1" s="58"/>
      <c r="O1" s="58"/>
      <c r="P1" s="58"/>
      <c r="Q1" s="550"/>
      <c r="R1" s="54"/>
      <c r="S1" s="54"/>
      <c r="T1" s="54"/>
      <c r="U1" s="54"/>
      <c r="V1" s="55"/>
    </row>
    <row r="2" spans="1:22" s="56" customFormat="1" ht="33">
      <c r="A2" s="158"/>
      <c r="B2" s="825" t="str">
        <f>封面!$E$10&amp;封面!$H$10&amp;封面!$I$10&amp;封面!$J$10&amp;封面!$K$10&amp;封面!L10</f>
        <v>中華民國113年1月份</v>
      </c>
      <c r="C2" s="825"/>
      <c r="D2" s="825"/>
      <c r="E2" s="825"/>
      <c r="F2" s="825"/>
      <c r="G2" s="825"/>
      <c r="H2" s="825"/>
      <c r="I2" s="825"/>
      <c r="J2" s="825"/>
      <c r="K2" s="825"/>
      <c r="L2" s="825"/>
      <c r="M2" s="147"/>
      <c r="N2" s="160" t="s">
        <v>158</v>
      </c>
      <c r="O2" s="160"/>
      <c r="P2" s="160" t="s">
        <v>157</v>
      </c>
      <c r="Q2" s="551"/>
      <c r="R2" s="57"/>
      <c r="S2" s="57"/>
      <c r="T2" s="57"/>
      <c r="U2" s="57"/>
      <c r="V2" s="57"/>
    </row>
    <row r="3" spans="1:22" s="70" customFormat="1">
      <c r="B3" s="180" t="s">
        <v>171</v>
      </c>
      <c r="C3" s="180" t="s">
        <v>172</v>
      </c>
      <c r="D3" s="180" t="s">
        <v>173</v>
      </c>
      <c r="E3" s="181" t="s">
        <v>174</v>
      </c>
      <c r="F3" s="181" t="s">
        <v>81</v>
      </c>
      <c r="G3" s="182" t="s">
        <v>175</v>
      </c>
      <c r="H3" s="183" t="s">
        <v>176</v>
      </c>
      <c r="I3" s="183" t="s">
        <v>4</v>
      </c>
      <c r="J3" s="183" t="s">
        <v>177</v>
      </c>
      <c r="K3" s="183" t="s">
        <v>178</v>
      </c>
      <c r="L3" s="183" t="s">
        <v>82</v>
      </c>
      <c r="M3" s="68"/>
      <c r="N3" s="194">
        <f>VLOOKUP(1,$A$4:$L$98,10,0)-N4+N5-P9</f>
        <v>6269000</v>
      </c>
      <c r="O3" s="194"/>
      <c r="P3" s="194">
        <f>VLOOKUP(1,$A$4:$L$98,11,0)-P4+P5-P6+P7-P8-P9</f>
        <v>6951569</v>
      </c>
      <c r="Q3" s="69"/>
    </row>
    <row r="4" spans="1:22" s="53" customFormat="1">
      <c r="A4" s="67"/>
      <c r="B4" s="184" t="s">
        <v>583</v>
      </c>
      <c r="C4" s="185" t="s">
        <v>584</v>
      </c>
      <c r="D4" s="185" t="s">
        <v>691</v>
      </c>
      <c r="E4" s="185" t="s">
        <v>691</v>
      </c>
      <c r="F4" s="185" t="s">
        <v>691</v>
      </c>
      <c r="G4" s="185" t="s">
        <v>691</v>
      </c>
      <c r="H4" s="185" t="s">
        <v>585</v>
      </c>
      <c r="I4" s="186" t="s">
        <v>691</v>
      </c>
      <c r="J4" s="186">
        <v>3298396</v>
      </c>
      <c r="K4" s="186">
        <v>0</v>
      </c>
      <c r="L4" s="186">
        <v>3298396</v>
      </c>
      <c r="M4" s="216" t="s">
        <v>185</v>
      </c>
      <c r="N4" s="195">
        <f>[2]縣庫對帳!$L$23</f>
        <v>3298396</v>
      </c>
      <c r="O4" s="196" t="s">
        <v>186</v>
      </c>
      <c r="P4" s="197">
        <f>VLOOKUP("零用及週轉金",平衡!$D$13:$H$42,5,0)</f>
        <v>40000</v>
      </c>
      <c r="Q4" s="552"/>
    </row>
    <row r="5" spans="1:22" s="53" customFormat="1">
      <c r="A5" s="67"/>
      <c r="B5" s="184" t="s">
        <v>583</v>
      </c>
      <c r="C5" s="185" t="s">
        <v>584</v>
      </c>
      <c r="D5" s="185" t="s">
        <v>586</v>
      </c>
      <c r="E5" s="185" t="s">
        <v>692</v>
      </c>
      <c r="F5" s="185" t="s">
        <v>691</v>
      </c>
      <c r="G5" s="185">
        <v>6269000</v>
      </c>
      <c r="H5" s="185" t="s">
        <v>587</v>
      </c>
      <c r="I5" s="186" t="s">
        <v>691</v>
      </c>
      <c r="J5" s="186">
        <v>9567396</v>
      </c>
      <c r="K5" s="186">
        <v>0</v>
      </c>
      <c r="L5" s="186">
        <v>9567396</v>
      </c>
      <c r="M5" s="196" t="s">
        <v>187</v>
      </c>
      <c r="N5" s="197">
        <f>-庫款差額!C15+庫款差額!C18</f>
        <v>-2892000</v>
      </c>
      <c r="O5" s="196" t="s">
        <v>187</v>
      </c>
      <c r="P5" s="197">
        <f>庫款差額!C8-庫款差額!C21</f>
        <v>0</v>
      </c>
      <c r="Q5" s="552"/>
    </row>
    <row r="6" spans="1:22" s="53" customFormat="1" ht="22.5">
      <c r="A6" s="67"/>
      <c r="B6" s="184" t="s">
        <v>583</v>
      </c>
      <c r="C6" s="185" t="s">
        <v>584</v>
      </c>
      <c r="D6" s="185" t="s">
        <v>586</v>
      </c>
      <c r="E6" s="184" t="s">
        <v>588</v>
      </c>
      <c r="F6" s="184" t="s">
        <v>589</v>
      </c>
      <c r="G6" s="185" t="s">
        <v>691</v>
      </c>
      <c r="H6" s="185" t="s">
        <v>590</v>
      </c>
      <c r="I6" s="186">
        <v>1811196</v>
      </c>
      <c r="J6" s="186">
        <v>9567396</v>
      </c>
      <c r="K6" s="186">
        <v>1811196</v>
      </c>
      <c r="L6" s="186">
        <v>7756200</v>
      </c>
      <c r="M6" s="115"/>
      <c r="N6" s="198"/>
      <c r="O6" s="199" t="s">
        <v>192</v>
      </c>
      <c r="P6" s="197">
        <v>46454</v>
      </c>
      <c r="Q6" s="552"/>
    </row>
    <row r="7" spans="1:22" s="53" customFormat="1" ht="22.5">
      <c r="A7" s="67"/>
      <c r="B7" s="184" t="s">
        <v>583</v>
      </c>
      <c r="C7" s="185" t="s">
        <v>584</v>
      </c>
      <c r="D7" s="185" t="s">
        <v>586</v>
      </c>
      <c r="E7" s="184" t="s">
        <v>591</v>
      </c>
      <c r="F7" s="184" t="s">
        <v>592</v>
      </c>
      <c r="G7" s="185" t="s">
        <v>691</v>
      </c>
      <c r="H7" s="185" t="s">
        <v>590</v>
      </c>
      <c r="I7" s="186">
        <v>232331</v>
      </c>
      <c r="J7" s="186">
        <v>9567396</v>
      </c>
      <c r="K7" s="186">
        <v>2043527</v>
      </c>
      <c r="L7" s="186">
        <v>7523869</v>
      </c>
      <c r="M7" s="115"/>
      <c r="N7" s="198"/>
      <c r="O7" s="199" t="s">
        <v>193</v>
      </c>
      <c r="P7" s="197">
        <f>IF(Q7=0,0,VLOOKUP("應付費用",平衡!$N$13:$T$41,7,0))</f>
        <v>0</v>
      </c>
      <c r="Q7" s="552"/>
    </row>
    <row r="8" spans="1:22" s="53" customFormat="1">
      <c r="A8" s="67"/>
      <c r="B8" s="184" t="s">
        <v>583</v>
      </c>
      <c r="C8" s="185" t="s">
        <v>584</v>
      </c>
      <c r="D8" s="185" t="s">
        <v>593</v>
      </c>
      <c r="E8" s="184" t="s">
        <v>594</v>
      </c>
      <c r="F8" s="184" t="s">
        <v>595</v>
      </c>
      <c r="G8" s="185" t="s">
        <v>691</v>
      </c>
      <c r="H8" s="185" t="s">
        <v>590</v>
      </c>
      <c r="I8" s="186">
        <v>40000</v>
      </c>
      <c r="J8" s="186">
        <v>9567396</v>
      </c>
      <c r="K8" s="186">
        <v>2083527</v>
      </c>
      <c r="L8" s="186">
        <v>7483869</v>
      </c>
      <c r="M8" s="115"/>
      <c r="N8" s="198"/>
      <c r="O8" s="197" t="s">
        <v>188</v>
      </c>
      <c r="P8" s="197"/>
      <c r="Q8" s="552"/>
    </row>
    <row r="9" spans="1:22" s="53" customFormat="1">
      <c r="A9" s="67"/>
      <c r="B9" s="184" t="s">
        <v>583</v>
      </c>
      <c r="C9" s="185" t="s">
        <v>584</v>
      </c>
      <c r="D9" s="185" t="s">
        <v>596</v>
      </c>
      <c r="E9" s="184" t="s">
        <v>597</v>
      </c>
      <c r="F9" s="184" t="s">
        <v>598</v>
      </c>
      <c r="G9" s="185" t="s">
        <v>691</v>
      </c>
      <c r="H9" s="185" t="s">
        <v>590</v>
      </c>
      <c r="I9" s="186">
        <v>46454</v>
      </c>
      <c r="J9" s="186">
        <v>9567396</v>
      </c>
      <c r="K9" s="186">
        <v>2129981</v>
      </c>
      <c r="L9" s="186">
        <v>7437415</v>
      </c>
      <c r="M9" s="115"/>
      <c r="N9" s="30"/>
      <c r="O9" s="197" t="s">
        <v>189</v>
      </c>
      <c r="P9" s="197"/>
      <c r="Q9" s="552"/>
    </row>
    <row r="10" spans="1:22" s="53" customFormat="1">
      <c r="A10" s="67"/>
      <c r="B10" s="184" t="s">
        <v>583</v>
      </c>
      <c r="C10" s="185" t="s">
        <v>584</v>
      </c>
      <c r="D10" s="185" t="s">
        <v>599</v>
      </c>
      <c r="E10" s="184" t="s">
        <v>600</v>
      </c>
      <c r="F10" s="184" t="s">
        <v>601</v>
      </c>
      <c r="G10" s="185" t="s">
        <v>691</v>
      </c>
      <c r="H10" s="185" t="s">
        <v>590</v>
      </c>
      <c r="I10" s="186">
        <v>22110</v>
      </c>
      <c r="J10" s="186">
        <v>9567396</v>
      </c>
      <c r="K10" s="186">
        <v>2152091</v>
      </c>
      <c r="L10" s="186">
        <v>7415305</v>
      </c>
      <c r="M10" s="115"/>
      <c r="N10" s="30"/>
      <c r="O10" s="30"/>
      <c r="P10" s="30"/>
      <c r="Q10" s="552"/>
    </row>
    <row r="11" spans="1:22" s="53" customFormat="1">
      <c r="A11" s="67"/>
      <c r="B11" s="184" t="s">
        <v>583</v>
      </c>
      <c r="C11" s="185" t="s">
        <v>584</v>
      </c>
      <c r="D11" s="185" t="s">
        <v>602</v>
      </c>
      <c r="E11" s="184" t="s">
        <v>603</v>
      </c>
      <c r="F11" s="184" t="s">
        <v>604</v>
      </c>
      <c r="G11" s="185" t="s">
        <v>691</v>
      </c>
      <c r="H11" s="185" t="s">
        <v>590</v>
      </c>
      <c r="I11" s="186">
        <v>11260</v>
      </c>
      <c r="J11" s="186">
        <v>9567396</v>
      </c>
      <c r="K11" s="186">
        <v>2163351</v>
      </c>
      <c r="L11" s="186">
        <v>7404045</v>
      </c>
      <c r="M11" s="115"/>
      <c r="N11" s="30"/>
      <c r="O11" s="30"/>
      <c r="P11" s="30"/>
      <c r="Q11" s="552"/>
    </row>
    <row r="12" spans="1:22" s="53" customFormat="1">
      <c r="A12" s="67"/>
      <c r="B12" s="184" t="s">
        <v>583</v>
      </c>
      <c r="C12" s="185" t="s">
        <v>584</v>
      </c>
      <c r="D12" s="185" t="s">
        <v>605</v>
      </c>
      <c r="E12" s="184" t="s">
        <v>606</v>
      </c>
      <c r="F12" s="184" t="s">
        <v>607</v>
      </c>
      <c r="G12" s="185" t="s">
        <v>691</v>
      </c>
      <c r="H12" s="185" t="s">
        <v>590</v>
      </c>
      <c r="I12" s="186">
        <v>40857</v>
      </c>
      <c r="J12" s="186">
        <v>9567396</v>
      </c>
      <c r="K12" s="186">
        <v>2204208</v>
      </c>
      <c r="L12" s="186">
        <v>7363188</v>
      </c>
      <c r="M12" s="115"/>
      <c r="N12" s="30"/>
      <c r="O12" s="30"/>
      <c r="P12" s="30"/>
      <c r="Q12" s="552"/>
    </row>
    <row r="13" spans="1:22" s="53" customFormat="1">
      <c r="A13" s="67"/>
      <c r="B13" s="184" t="s">
        <v>583</v>
      </c>
      <c r="C13" s="360" t="s">
        <v>584</v>
      </c>
      <c r="D13" s="360" t="s">
        <v>608</v>
      </c>
      <c r="E13" s="360" t="s">
        <v>693</v>
      </c>
      <c r="F13" s="184" t="s">
        <v>609</v>
      </c>
      <c r="G13" s="185" t="s">
        <v>691</v>
      </c>
      <c r="H13" s="185" t="s">
        <v>590</v>
      </c>
      <c r="I13" s="186">
        <v>41355</v>
      </c>
      <c r="J13" s="186">
        <v>9567396</v>
      </c>
      <c r="K13" s="186">
        <v>2245563</v>
      </c>
      <c r="L13" s="186">
        <v>7321833</v>
      </c>
      <c r="M13" s="115"/>
      <c r="N13" s="30"/>
      <c r="O13" s="30"/>
      <c r="P13" s="30"/>
      <c r="Q13" s="552"/>
    </row>
    <row r="14" spans="1:22" s="53" customFormat="1">
      <c r="A14" s="67"/>
      <c r="B14" s="184" t="s">
        <v>583</v>
      </c>
      <c r="C14" s="360" t="s">
        <v>584</v>
      </c>
      <c r="D14" s="360" t="s">
        <v>608</v>
      </c>
      <c r="E14" s="360" t="s">
        <v>694</v>
      </c>
      <c r="F14" s="184" t="s">
        <v>610</v>
      </c>
      <c r="G14" s="185" t="s">
        <v>691</v>
      </c>
      <c r="H14" s="185" t="s">
        <v>590</v>
      </c>
      <c r="I14" s="186">
        <v>2555425</v>
      </c>
      <c r="J14" s="186">
        <v>9567396</v>
      </c>
      <c r="K14" s="186">
        <v>4800988</v>
      </c>
      <c r="L14" s="186">
        <v>4766408</v>
      </c>
      <c r="M14" s="115"/>
      <c r="N14" s="30"/>
      <c r="O14" s="30"/>
      <c r="P14" s="30"/>
      <c r="Q14" s="552"/>
    </row>
    <row r="15" spans="1:22" s="53" customFormat="1">
      <c r="A15" s="67"/>
      <c r="B15" s="184" t="s">
        <v>583</v>
      </c>
      <c r="C15" s="360" t="s">
        <v>584</v>
      </c>
      <c r="D15" s="360" t="s">
        <v>611</v>
      </c>
      <c r="E15" s="360" t="s">
        <v>695</v>
      </c>
      <c r="F15" s="184" t="s">
        <v>691</v>
      </c>
      <c r="G15" s="185">
        <v>2892000</v>
      </c>
      <c r="H15" s="185" t="s">
        <v>587</v>
      </c>
      <c r="I15" s="186" t="s">
        <v>691</v>
      </c>
      <c r="J15" s="186">
        <v>12459396</v>
      </c>
      <c r="K15" s="186">
        <v>4800988</v>
      </c>
      <c r="L15" s="186">
        <v>7658408</v>
      </c>
      <c r="M15" s="115"/>
      <c r="N15" s="30"/>
      <c r="O15" s="30"/>
      <c r="P15" s="30"/>
      <c r="Q15" s="552"/>
    </row>
    <row r="16" spans="1:22" s="53" customFormat="1">
      <c r="A16" s="67"/>
      <c r="B16" s="184" t="s">
        <v>583</v>
      </c>
      <c r="C16" s="360" t="s">
        <v>584</v>
      </c>
      <c r="D16" s="360" t="s">
        <v>611</v>
      </c>
      <c r="E16" s="360" t="s">
        <v>696</v>
      </c>
      <c r="F16" s="184" t="s">
        <v>612</v>
      </c>
      <c r="G16" s="185" t="s">
        <v>691</v>
      </c>
      <c r="H16" s="185" t="s">
        <v>590</v>
      </c>
      <c r="I16" s="186">
        <v>1969792</v>
      </c>
      <c r="J16" s="186">
        <v>12459396</v>
      </c>
      <c r="K16" s="186">
        <v>6770780</v>
      </c>
      <c r="L16" s="186">
        <v>5688616</v>
      </c>
      <c r="M16" s="115"/>
      <c r="N16" s="30"/>
      <c r="O16" s="30"/>
      <c r="P16" s="30"/>
      <c r="Q16" s="552"/>
    </row>
    <row r="17" spans="1:19" s="53" customFormat="1">
      <c r="A17" s="67"/>
      <c r="B17" s="187" t="s">
        <v>583</v>
      </c>
      <c r="C17" s="373" t="s">
        <v>584</v>
      </c>
      <c r="D17" s="373" t="s">
        <v>611</v>
      </c>
      <c r="E17" s="373" t="s">
        <v>697</v>
      </c>
      <c r="F17" s="187" t="s">
        <v>613</v>
      </c>
      <c r="G17" s="188" t="s">
        <v>691</v>
      </c>
      <c r="H17" s="188" t="s">
        <v>590</v>
      </c>
      <c r="I17" s="188">
        <v>251243</v>
      </c>
      <c r="J17" s="188">
        <v>12459396</v>
      </c>
      <c r="K17" s="188">
        <v>7022023</v>
      </c>
      <c r="L17" s="188">
        <v>5437373</v>
      </c>
      <c r="M17" s="115"/>
      <c r="N17" s="30"/>
      <c r="O17" s="30"/>
      <c r="P17" s="30"/>
      <c r="Q17" s="552"/>
    </row>
    <row r="18" spans="1:19" s="53" customFormat="1">
      <c r="A18" s="67">
        <v>1</v>
      </c>
      <c r="B18" s="187" t="s">
        <v>583</v>
      </c>
      <c r="C18" s="373" t="s">
        <v>584</v>
      </c>
      <c r="D18" s="373" t="s">
        <v>611</v>
      </c>
      <c r="E18" s="373" t="s">
        <v>698</v>
      </c>
      <c r="F18" s="187" t="s">
        <v>614</v>
      </c>
      <c r="G18" s="188" t="s">
        <v>691</v>
      </c>
      <c r="H18" s="188" t="s">
        <v>590</v>
      </c>
      <c r="I18" s="188">
        <v>16000</v>
      </c>
      <c r="J18" s="188">
        <v>12459396</v>
      </c>
      <c r="K18" s="188">
        <v>7038023</v>
      </c>
      <c r="L18" s="188">
        <v>5421373</v>
      </c>
      <c r="M18" s="115"/>
      <c r="N18" s="30"/>
      <c r="O18" s="30"/>
      <c r="P18" s="30"/>
      <c r="Q18" s="552"/>
      <c r="S18" s="66"/>
    </row>
    <row r="19" spans="1:19" s="213" customFormat="1">
      <c r="A19" s="210"/>
      <c r="B19" s="187" t="s">
        <v>691</v>
      </c>
      <c r="C19" s="373" t="s">
        <v>615</v>
      </c>
      <c r="D19" s="373" t="s">
        <v>691</v>
      </c>
      <c r="E19" s="373" t="s">
        <v>691</v>
      </c>
      <c r="F19" s="187" t="s">
        <v>691</v>
      </c>
      <c r="G19" s="188">
        <v>9161000</v>
      </c>
      <c r="H19" s="188" t="s">
        <v>691</v>
      </c>
      <c r="I19" s="188">
        <v>7038023</v>
      </c>
      <c r="J19" s="188" t="s">
        <v>691</v>
      </c>
      <c r="K19" s="188" t="s">
        <v>691</v>
      </c>
      <c r="L19" s="188" t="s">
        <v>691</v>
      </c>
      <c r="M19" s="211"/>
      <c r="N19" s="212"/>
      <c r="O19" s="30"/>
      <c r="P19" s="30"/>
      <c r="Q19" s="553"/>
    </row>
    <row r="20" spans="1:19" s="213" customFormat="1" ht="14.25">
      <c r="A20" s="210"/>
      <c r="B20" s="214"/>
      <c r="C20" s="374"/>
      <c r="D20" s="374"/>
      <c r="E20" s="374"/>
      <c r="F20" s="214"/>
      <c r="G20" s="211"/>
      <c r="H20" s="211"/>
      <c r="I20" s="211"/>
      <c r="J20" s="211"/>
      <c r="K20" s="211"/>
      <c r="L20" s="211"/>
      <c r="M20" s="211"/>
      <c r="N20" s="212"/>
      <c r="O20" s="212"/>
      <c r="P20" s="212"/>
      <c r="Q20" s="553"/>
    </row>
    <row r="21" spans="1:19" s="213" customFormat="1" ht="14.25">
      <c r="A21" s="210"/>
      <c r="B21" s="214"/>
      <c r="C21" s="374"/>
      <c r="D21" s="374"/>
      <c r="E21" s="374"/>
      <c r="F21" s="214"/>
      <c r="G21" s="211"/>
      <c r="H21" s="211"/>
      <c r="I21" s="211"/>
      <c r="J21" s="211"/>
      <c r="K21" s="211"/>
      <c r="L21" s="211"/>
      <c r="M21" s="211"/>
      <c r="N21" s="212"/>
      <c r="O21" s="212"/>
      <c r="P21" s="212"/>
      <c r="Q21" s="553"/>
    </row>
    <row r="22" spans="1:19" s="213" customFormat="1" ht="14.25">
      <c r="A22" s="210"/>
      <c r="B22" s="214"/>
      <c r="C22" s="374"/>
      <c r="D22" s="374"/>
      <c r="E22" s="374"/>
      <c r="F22" s="215"/>
      <c r="G22" s="211"/>
      <c r="H22" s="211"/>
      <c r="I22" s="211"/>
      <c r="J22" s="211"/>
      <c r="K22" s="211"/>
      <c r="L22" s="211"/>
      <c r="M22" s="211"/>
      <c r="N22" s="212"/>
      <c r="O22" s="212"/>
      <c r="P22" s="212"/>
      <c r="Q22" s="553"/>
    </row>
    <row r="23" spans="1:19" s="53" customFormat="1">
      <c r="A23" s="67"/>
      <c r="B23" s="113"/>
      <c r="C23" s="113"/>
      <c r="D23" s="113"/>
      <c r="E23" s="114"/>
      <c r="F23" s="114"/>
      <c r="G23" s="115"/>
      <c r="H23" s="115"/>
      <c r="I23" s="115"/>
      <c r="J23" s="115"/>
      <c r="K23" s="115"/>
      <c r="L23" s="115"/>
      <c r="M23" s="115"/>
      <c r="N23" s="30"/>
      <c r="O23" s="212"/>
      <c r="P23" s="212"/>
      <c r="Q23" s="552"/>
    </row>
    <row r="24" spans="1:19" s="53" customFormat="1">
      <c r="A24" s="67"/>
      <c r="B24" s="113"/>
      <c r="C24" s="113"/>
      <c r="D24" s="113"/>
      <c r="E24" s="114"/>
      <c r="F24" s="114"/>
      <c r="G24" s="115"/>
      <c r="H24" s="115"/>
      <c r="I24" s="115"/>
      <c r="J24" s="115"/>
      <c r="K24" s="115"/>
      <c r="L24" s="115"/>
      <c r="M24" s="115"/>
      <c r="N24" s="30"/>
      <c r="O24" s="30"/>
      <c r="P24" s="30"/>
      <c r="Q24" s="552"/>
    </row>
    <row r="25" spans="1:19" s="53" customFormat="1">
      <c r="A25" s="67"/>
      <c r="B25" s="113"/>
      <c r="C25" s="113"/>
      <c r="D25" s="113"/>
      <c r="E25" s="114"/>
      <c r="F25" s="114"/>
      <c r="G25" s="115"/>
      <c r="H25" s="115"/>
      <c r="I25" s="115"/>
      <c r="J25" s="115"/>
      <c r="K25" s="115"/>
      <c r="L25" s="115"/>
      <c r="M25" s="115"/>
      <c r="N25" s="30"/>
      <c r="O25" s="30"/>
      <c r="P25" s="30"/>
      <c r="Q25" s="552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552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552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552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552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552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552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552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552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552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552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552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552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552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552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552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552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552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552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552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552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552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552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552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552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552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552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552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552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552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552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552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552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552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552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552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552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552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552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552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552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552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552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552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552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552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552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552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552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552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552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552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552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552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552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552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552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552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552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552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552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552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552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552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552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552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552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552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552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552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552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552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552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552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552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552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552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552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552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552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552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552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552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552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552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552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552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552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552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552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552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552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552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552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552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552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552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552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552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552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552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552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552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552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552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552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552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552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552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552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552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552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552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552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552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552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552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552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552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552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552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552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552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552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552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552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552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552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552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552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552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552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552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552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552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552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552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552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552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552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552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552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552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552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552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552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552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552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552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552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552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552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552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552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552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552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552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552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552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552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552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552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552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552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552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552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552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552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552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552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552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552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552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552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552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552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552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552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552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552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552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552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552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552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552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552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552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552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552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552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552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552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552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552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552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552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552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552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552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552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552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552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552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552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552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552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552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552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552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552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552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552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552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552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552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552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552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552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552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552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552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552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552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552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552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552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552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552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552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552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552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552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552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552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552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552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552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552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552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552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552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552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552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552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552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552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552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552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552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552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552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552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552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552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552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552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552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552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552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552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552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552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552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552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552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552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552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552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552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552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552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552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552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552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552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552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552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552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552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552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552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552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552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552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552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552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552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552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552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552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552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552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552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552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552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552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552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552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552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552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552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552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552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552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552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552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552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552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552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552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552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552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552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552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552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552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552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552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552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552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552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552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552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552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552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552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552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552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552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552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552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552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552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552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552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552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552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552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552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552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552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552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552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552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552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552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552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552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552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552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552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552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552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552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552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552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552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552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552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552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552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552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552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552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552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552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552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552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552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552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552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552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552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552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552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552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552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552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552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552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552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552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552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552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552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552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552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552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552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552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552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552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552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552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552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552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552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552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552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552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552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552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552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552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552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552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552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552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552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552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552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552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552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552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552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552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552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552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552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552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552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552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552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552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552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552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552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552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552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552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552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552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552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552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552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552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552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552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552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552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552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552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552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552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552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552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552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552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552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552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552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552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552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552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552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552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552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552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552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552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552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552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552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552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552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552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552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552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552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552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552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552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552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552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552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552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552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552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552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552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552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552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552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552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552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552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552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552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552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552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552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552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552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552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552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552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552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552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552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552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552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552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552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552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552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552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552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552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552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552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552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552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552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552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552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552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552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552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552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552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552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552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552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552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552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552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552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552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552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552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552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552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552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552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552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552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552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552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552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552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552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552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552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552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552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552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552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552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552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552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552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552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552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552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552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552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552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552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552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552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552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552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552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552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552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552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552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552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552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552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552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552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552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552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552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552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552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552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552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552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552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552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552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552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552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552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552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552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552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552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552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552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552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552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552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552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552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552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552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552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552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552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552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552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552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552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552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552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552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552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552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552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552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552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552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552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552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552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552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552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552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552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552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552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552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552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552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552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552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552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552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552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552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552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552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552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552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552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552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552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552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552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552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552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552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552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552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552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552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552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552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552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552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552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552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552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552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552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552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552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552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552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552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552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552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552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552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552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552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552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552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552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552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552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552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552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552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552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552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552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552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552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552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552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552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552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552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552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552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552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552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552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552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552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552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552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552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552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552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552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552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552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552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552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552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552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552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552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552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552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552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552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552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552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552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552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552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552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552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552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552"/>
    </row>
    <row r="746" spans="2:17">
      <c r="M746" s="51"/>
      <c r="N746" s="30"/>
      <c r="O746" s="30"/>
      <c r="P746" s="30"/>
      <c r="Q746" s="552"/>
    </row>
    <row r="747" spans="2:17">
      <c r="N747" s="30"/>
      <c r="O747" s="30"/>
      <c r="P747" s="30"/>
      <c r="Q747" s="552"/>
    </row>
    <row r="748" spans="2:17">
      <c r="N748" s="30"/>
      <c r="O748" s="30"/>
      <c r="P748" s="30"/>
      <c r="Q748" s="552"/>
    </row>
    <row r="749" spans="2:17">
      <c r="N749" s="30"/>
      <c r="O749" s="30"/>
      <c r="P749" s="30"/>
      <c r="Q749" s="552"/>
    </row>
    <row r="750" spans="2:17">
      <c r="N750" s="30"/>
      <c r="O750" s="30"/>
      <c r="P750" s="30"/>
      <c r="Q750" s="552"/>
    </row>
    <row r="751" spans="2:17">
      <c r="N751" s="30"/>
      <c r="O751" s="30"/>
      <c r="P751" s="30"/>
      <c r="Q751" s="552"/>
    </row>
    <row r="752" spans="2:17">
      <c r="N752" s="30"/>
      <c r="O752" s="30"/>
      <c r="P752" s="30"/>
      <c r="Q752" s="552"/>
    </row>
    <row r="753" spans="14:17">
      <c r="N753" s="30"/>
      <c r="O753" s="30"/>
      <c r="P753" s="30"/>
      <c r="Q753" s="552"/>
    </row>
    <row r="754" spans="14:17">
      <c r="N754" s="30"/>
      <c r="O754" s="30"/>
      <c r="P754" s="30"/>
      <c r="Q754" s="552"/>
    </row>
    <row r="755" spans="14:17">
      <c r="N755" s="30"/>
      <c r="O755" s="30"/>
      <c r="P755" s="30"/>
      <c r="Q755" s="552"/>
    </row>
    <row r="756" spans="14:17">
      <c r="N756" s="30"/>
      <c r="O756" s="30"/>
      <c r="P756" s="30"/>
      <c r="Q756" s="552"/>
    </row>
    <row r="757" spans="14:17">
      <c r="N757" s="30"/>
      <c r="O757" s="30"/>
      <c r="P757" s="30"/>
      <c r="Q757" s="552"/>
    </row>
    <row r="758" spans="14:17">
      <c r="N758" s="30"/>
      <c r="O758" s="30"/>
      <c r="P758" s="30"/>
      <c r="Q758" s="552"/>
    </row>
    <row r="759" spans="14:17">
      <c r="N759" s="30"/>
      <c r="O759" s="30"/>
      <c r="P759" s="30"/>
      <c r="Q759" s="552"/>
    </row>
    <row r="760" spans="14:17">
      <c r="N760" s="30"/>
      <c r="O760" s="30"/>
      <c r="P760" s="30"/>
      <c r="Q760" s="552"/>
    </row>
    <row r="761" spans="14:17">
      <c r="N761" s="30"/>
      <c r="O761" s="30"/>
      <c r="P761" s="30"/>
      <c r="Q761" s="552"/>
    </row>
    <row r="762" spans="14:17">
      <c r="N762" s="30"/>
      <c r="O762" s="30"/>
      <c r="P762" s="30"/>
      <c r="Q762" s="552"/>
    </row>
    <row r="763" spans="14:17">
      <c r="N763" s="30"/>
      <c r="O763" s="30"/>
      <c r="P763" s="30"/>
      <c r="Q763" s="552"/>
    </row>
    <row r="764" spans="14:17">
      <c r="N764" s="30"/>
      <c r="O764" s="30"/>
      <c r="P764" s="30"/>
      <c r="Q764" s="552"/>
    </row>
    <row r="765" spans="14:17">
      <c r="N765" s="30"/>
      <c r="O765" s="30"/>
      <c r="P765" s="30"/>
      <c r="Q765" s="552"/>
    </row>
    <row r="766" spans="14:17">
      <c r="N766" s="30"/>
      <c r="O766" s="30"/>
      <c r="P766" s="30"/>
      <c r="Q766" s="552"/>
    </row>
    <row r="767" spans="14:17">
      <c r="N767" s="30"/>
      <c r="O767" s="30"/>
      <c r="P767" s="30"/>
      <c r="Q767" s="552"/>
    </row>
    <row r="768" spans="14:17">
      <c r="N768" s="30"/>
      <c r="O768" s="30"/>
      <c r="P768" s="30"/>
      <c r="Q768" s="552"/>
    </row>
    <row r="769" spans="14:17">
      <c r="N769" s="30"/>
      <c r="O769" s="30"/>
      <c r="P769" s="30"/>
      <c r="Q769" s="552"/>
    </row>
    <row r="770" spans="14:17">
      <c r="N770" s="30"/>
      <c r="O770" s="30"/>
      <c r="P770" s="30"/>
      <c r="Q770" s="552"/>
    </row>
    <row r="771" spans="14:17">
      <c r="N771" s="30"/>
      <c r="O771" s="30"/>
      <c r="P771" s="30"/>
      <c r="Q771" s="552"/>
    </row>
    <row r="772" spans="14:17">
      <c r="N772" s="30"/>
      <c r="O772" s="30"/>
      <c r="P772" s="30"/>
      <c r="Q772" s="552"/>
    </row>
    <row r="773" spans="14:17">
      <c r="N773" s="30"/>
      <c r="O773" s="30"/>
      <c r="P773" s="30"/>
      <c r="Q773" s="552"/>
    </row>
    <row r="774" spans="14:17">
      <c r="N774" s="30"/>
      <c r="O774" s="30"/>
      <c r="P774" s="30"/>
      <c r="Q774" s="552"/>
    </row>
    <row r="775" spans="14:17">
      <c r="N775" s="30"/>
      <c r="O775" s="30"/>
      <c r="P775" s="30"/>
      <c r="Q775" s="552"/>
    </row>
    <row r="776" spans="14:17">
      <c r="N776" s="30"/>
      <c r="O776" s="30"/>
      <c r="P776" s="30"/>
      <c r="Q776" s="552"/>
    </row>
    <row r="777" spans="14:17">
      <c r="N777" s="30"/>
      <c r="O777" s="30"/>
      <c r="P777" s="30"/>
      <c r="Q777" s="552"/>
    </row>
    <row r="778" spans="14:17">
      <c r="N778" s="30"/>
      <c r="O778" s="30"/>
      <c r="P778" s="30"/>
      <c r="Q778" s="552"/>
    </row>
    <row r="779" spans="14:17">
      <c r="N779" s="30"/>
      <c r="O779" s="30"/>
      <c r="P779" s="30"/>
      <c r="Q779" s="552"/>
    </row>
    <row r="780" spans="14:17">
      <c r="N780" s="30"/>
      <c r="O780" s="30"/>
      <c r="P780" s="30"/>
      <c r="Q780" s="552"/>
    </row>
    <row r="781" spans="14:17">
      <c r="N781" s="30"/>
      <c r="O781" s="30"/>
      <c r="P781" s="30"/>
      <c r="Q781" s="552"/>
    </row>
    <row r="782" spans="14:17">
      <c r="N782" s="30"/>
      <c r="O782" s="30"/>
      <c r="P782" s="30"/>
      <c r="Q782" s="552"/>
    </row>
    <row r="783" spans="14:17">
      <c r="N783" s="30"/>
      <c r="O783" s="30"/>
      <c r="P783" s="30"/>
      <c r="Q783" s="552"/>
    </row>
    <row r="784" spans="14:17">
      <c r="N784" s="30"/>
      <c r="O784" s="30"/>
      <c r="P784" s="30"/>
      <c r="Q784" s="552"/>
    </row>
    <row r="785" spans="14:17">
      <c r="N785" s="30"/>
      <c r="O785" s="30"/>
      <c r="P785" s="30"/>
      <c r="Q785" s="552"/>
    </row>
    <row r="786" spans="14:17">
      <c r="N786" s="30"/>
      <c r="O786" s="30"/>
      <c r="P786" s="30"/>
      <c r="Q786" s="552"/>
    </row>
    <row r="787" spans="14:17">
      <c r="N787" s="30"/>
      <c r="O787" s="30"/>
      <c r="P787" s="30"/>
      <c r="Q787" s="552"/>
    </row>
    <row r="788" spans="14:17">
      <c r="N788" s="30"/>
      <c r="O788" s="30"/>
      <c r="P788" s="30"/>
      <c r="Q788" s="552"/>
    </row>
    <row r="789" spans="14:17">
      <c r="N789" s="30"/>
      <c r="O789" s="30"/>
      <c r="P789" s="30"/>
      <c r="Q789" s="552"/>
    </row>
    <row r="790" spans="14:17">
      <c r="N790" s="30"/>
      <c r="O790" s="30"/>
      <c r="P790" s="30"/>
      <c r="Q790" s="552"/>
    </row>
    <row r="791" spans="14:17">
      <c r="N791" s="30"/>
      <c r="O791" s="30"/>
      <c r="P791" s="30"/>
      <c r="Q791" s="552"/>
    </row>
    <row r="792" spans="14:17">
      <c r="N792" s="30"/>
      <c r="O792" s="30"/>
      <c r="P792" s="30"/>
      <c r="Q792" s="552"/>
    </row>
    <row r="793" spans="14:17">
      <c r="N793" s="30"/>
      <c r="O793" s="30"/>
      <c r="P793" s="30"/>
      <c r="Q793" s="552"/>
    </row>
    <row r="794" spans="14:17">
      <c r="N794" s="30"/>
      <c r="O794" s="30"/>
      <c r="P794" s="30"/>
      <c r="Q794" s="552"/>
    </row>
    <row r="795" spans="14:17">
      <c r="N795" s="30"/>
      <c r="O795" s="30"/>
      <c r="P795" s="30"/>
      <c r="Q795" s="552"/>
    </row>
    <row r="796" spans="14:17">
      <c r="N796" s="30"/>
      <c r="O796" s="30"/>
      <c r="P796" s="30"/>
      <c r="Q796" s="552"/>
    </row>
    <row r="797" spans="14:17">
      <c r="N797" s="30"/>
      <c r="O797" s="30"/>
      <c r="P797" s="30"/>
      <c r="Q797" s="552"/>
    </row>
    <row r="798" spans="14:17">
      <c r="N798" s="30"/>
      <c r="O798" s="30"/>
      <c r="P798" s="30"/>
      <c r="Q798" s="552"/>
    </row>
    <row r="799" spans="14:17">
      <c r="N799" s="30"/>
      <c r="O799" s="30"/>
      <c r="P799" s="30"/>
      <c r="Q799" s="552"/>
    </row>
    <row r="800" spans="14:17">
      <c r="N800" s="30"/>
      <c r="O800" s="30"/>
      <c r="P800" s="30"/>
      <c r="Q800" s="552"/>
    </row>
    <row r="801" spans="14:17">
      <c r="N801" s="30"/>
      <c r="O801" s="30"/>
      <c r="P801" s="30"/>
      <c r="Q801" s="552"/>
    </row>
    <row r="802" spans="14:17">
      <c r="N802" s="30"/>
      <c r="O802" s="30"/>
      <c r="P802" s="30"/>
      <c r="Q802" s="552"/>
    </row>
    <row r="803" spans="14:17">
      <c r="N803" s="30"/>
      <c r="O803" s="30"/>
      <c r="P803" s="30"/>
      <c r="Q803" s="552"/>
    </row>
    <row r="804" spans="14:17">
      <c r="N804" s="30"/>
      <c r="O804" s="30"/>
      <c r="P804" s="30"/>
      <c r="Q804" s="552"/>
    </row>
    <row r="805" spans="14:17">
      <c r="N805" s="30"/>
      <c r="O805" s="30"/>
      <c r="P805" s="30"/>
      <c r="Q805" s="552"/>
    </row>
    <row r="806" spans="14:17">
      <c r="N806" s="30"/>
      <c r="O806" s="30"/>
      <c r="P806" s="30"/>
      <c r="Q806" s="552"/>
    </row>
    <row r="807" spans="14:17">
      <c r="N807" s="30"/>
      <c r="O807" s="30"/>
      <c r="P807" s="30"/>
      <c r="Q807" s="552"/>
    </row>
    <row r="808" spans="14:17">
      <c r="N808" s="30"/>
      <c r="O808" s="30"/>
      <c r="P808" s="30"/>
      <c r="Q808" s="552"/>
    </row>
    <row r="809" spans="14:17">
      <c r="N809" s="30"/>
      <c r="O809" s="30"/>
      <c r="P809" s="30"/>
      <c r="Q809" s="552"/>
    </row>
    <row r="810" spans="14:17">
      <c r="N810" s="30"/>
      <c r="O810" s="30"/>
      <c r="P810" s="30"/>
      <c r="Q810" s="552"/>
    </row>
    <row r="811" spans="14:17">
      <c r="N811" s="30"/>
      <c r="O811" s="30"/>
      <c r="P811" s="30"/>
      <c r="Q811" s="552"/>
    </row>
    <row r="812" spans="14:17">
      <c r="N812" s="30"/>
      <c r="O812" s="30"/>
      <c r="P812" s="30"/>
      <c r="Q812" s="552"/>
    </row>
    <row r="813" spans="14:17">
      <c r="N813" s="30"/>
      <c r="O813" s="30"/>
      <c r="P813" s="30"/>
      <c r="Q813" s="552"/>
    </row>
    <row r="814" spans="14:17">
      <c r="N814" s="30"/>
      <c r="O814" s="30"/>
      <c r="P814" s="30"/>
      <c r="Q814" s="552"/>
    </row>
    <row r="815" spans="14:17">
      <c r="N815" s="30"/>
      <c r="O815" s="30"/>
      <c r="P815" s="30"/>
      <c r="Q815" s="552"/>
    </row>
    <row r="816" spans="14:17">
      <c r="N816" s="30"/>
      <c r="O816" s="30"/>
      <c r="P816" s="30"/>
      <c r="Q816" s="552"/>
    </row>
    <row r="817" spans="14:17">
      <c r="N817" s="30"/>
      <c r="O817" s="30"/>
      <c r="P817" s="30"/>
      <c r="Q817" s="552"/>
    </row>
    <row r="818" spans="14:17">
      <c r="N818" s="30"/>
      <c r="O818" s="30"/>
      <c r="P818" s="30"/>
      <c r="Q818" s="552"/>
    </row>
    <row r="819" spans="14:17">
      <c r="N819" s="30"/>
      <c r="O819" s="30"/>
      <c r="P819" s="30"/>
      <c r="Q819" s="552"/>
    </row>
    <row r="820" spans="14:17">
      <c r="N820" s="30"/>
      <c r="O820" s="30"/>
      <c r="P820" s="30"/>
      <c r="Q820" s="552"/>
    </row>
    <row r="821" spans="14:17">
      <c r="N821" s="30"/>
      <c r="O821" s="30"/>
      <c r="P821" s="30"/>
      <c r="Q821" s="552"/>
    </row>
    <row r="822" spans="14:17">
      <c r="N822" s="30"/>
      <c r="O822" s="30"/>
      <c r="P822" s="30"/>
      <c r="Q822" s="552"/>
    </row>
    <row r="823" spans="14:17">
      <c r="N823" s="30"/>
      <c r="O823" s="30"/>
      <c r="P823" s="30"/>
      <c r="Q823" s="552"/>
    </row>
    <row r="824" spans="14:17">
      <c r="N824" s="30"/>
      <c r="O824" s="30"/>
      <c r="P824" s="30"/>
      <c r="Q824" s="552"/>
    </row>
    <row r="825" spans="14:17">
      <c r="N825" s="30"/>
      <c r="O825" s="30"/>
      <c r="P825" s="30"/>
      <c r="Q825" s="552"/>
    </row>
    <row r="826" spans="14:17">
      <c r="N826" s="30"/>
      <c r="O826" s="30"/>
      <c r="P826" s="30"/>
      <c r="Q826" s="552"/>
    </row>
    <row r="827" spans="14:17">
      <c r="N827" s="30"/>
      <c r="O827" s="30"/>
      <c r="P827" s="30"/>
      <c r="Q827" s="552"/>
    </row>
    <row r="828" spans="14:17">
      <c r="N828" s="30"/>
      <c r="O828" s="30"/>
      <c r="P828" s="30"/>
      <c r="Q828" s="552"/>
    </row>
    <row r="829" spans="14:17">
      <c r="N829" s="30"/>
      <c r="O829" s="30"/>
      <c r="P829" s="30"/>
      <c r="Q829" s="552"/>
    </row>
    <row r="830" spans="14:17">
      <c r="N830" s="30"/>
      <c r="O830" s="30"/>
      <c r="P830" s="30"/>
      <c r="Q830" s="552"/>
    </row>
    <row r="831" spans="14:17">
      <c r="N831" s="30"/>
      <c r="O831" s="30"/>
      <c r="P831" s="30"/>
      <c r="Q831" s="552"/>
    </row>
    <row r="832" spans="14:17">
      <c r="N832" s="30"/>
      <c r="O832" s="30"/>
      <c r="P832" s="30"/>
      <c r="Q832" s="552"/>
    </row>
    <row r="833" spans="14:17">
      <c r="N833" s="30"/>
      <c r="O833" s="30"/>
      <c r="P833" s="30"/>
      <c r="Q833" s="552"/>
    </row>
    <row r="834" spans="14:17">
      <c r="N834" s="30"/>
      <c r="O834" s="30"/>
      <c r="P834" s="30"/>
      <c r="Q834" s="552"/>
    </row>
    <row r="835" spans="14:17">
      <c r="N835" s="30"/>
      <c r="O835" s="30"/>
      <c r="P835" s="30"/>
      <c r="Q835" s="552"/>
    </row>
    <row r="836" spans="14:17">
      <c r="N836" s="30"/>
      <c r="O836" s="30"/>
      <c r="P836" s="30"/>
      <c r="Q836" s="552"/>
    </row>
    <row r="837" spans="14:17">
      <c r="N837" s="30"/>
      <c r="O837" s="30"/>
      <c r="P837" s="30"/>
      <c r="Q837" s="552"/>
    </row>
    <row r="838" spans="14:17">
      <c r="N838" s="30"/>
      <c r="O838" s="30"/>
      <c r="P838" s="30"/>
      <c r="Q838" s="552"/>
    </row>
    <row r="839" spans="14:17">
      <c r="N839" s="30"/>
      <c r="O839" s="30"/>
      <c r="P839" s="30"/>
      <c r="Q839" s="552"/>
    </row>
    <row r="840" spans="14:17">
      <c r="N840" s="30"/>
      <c r="O840" s="30"/>
      <c r="P840" s="30"/>
      <c r="Q840" s="552"/>
    </row>
    <row r="841" spans="14:17">
      <c r="N841" s="30"/>
      <c r="O841" s="30"/>
      <c r="P841" s="30"/>
      <c r="Q841" s="552"/>
    </row>
    <row r="842" spans="14:17">
      <c r="N842" s="30"/>
      <c r="O842" s="30"/>
      <c r="P842" s="30"/>
      <c r="Q842" s="552"/>
    </row>
    <row r="843" spans="14:17">
      <c r="N843" s="30"/>
      <c r="O843" s="30"/>
      <c r="P843" s="30"/>
      <c r="Q843" s="552"/>
    </row>
    <row r="844" spans="14:17">
      <c r="N844" s="30"/>
      <c r="O844" s="30"/>
      <c r="P844" s="30"/>
      <c r="Q844" s="552"/>
    </row>
    <row r="845" spans="14:17">
      <c r="N845" s="30"/>
      <c r="O845" s="30"/>
      <c r="P845" s="30"/>
      <c r="Q845" s="552"/>
    </row>
    <row r="846" spans="14:17">
      <c r="N846" s="30"/>
      <c r="O846" s="30"/>
      <c r="P846" s="30"/>
      <c r="Q846" s="552"/>
    </row>
    <row r="847" spans="14:17">
      <c r="N847" s="30"/>
      <c r="O847" s="30"/>
      <c r="P847" s="30"/>
      <c r="Q847" s="552"/>
    </row>
    <row r="848" spans="14:17">
      <c r="N848" s="30"/>
      <c r="O848" s="30"/>
      <c r="P848" s="30"/>
      <c r="Q848" s="552"/>
    </row>
    <row r="849" spans="14:17">
      <c r="N849" s="30"/>
      <c r="O849" s="30"/>
      <c r="P849" s="30"/>
      <c r="Q849" s="552"/>
    </row>
    <row r="850" spans="14:17">
      <c r="N850" s="30"/>
      <c r="O850" s="30"/>
      <c r="P850" s="30"/>
      <c r="Q850" s="552"/>
    </row>
    <row r="851" spans="14:17">
      <c r="N851" s="30"/>
      <c r="O851" s="30"/>
      <c r="P851" s="30"/>
      <c r="Q851" s="552"/>
    </row>
    <row r="852" spans="14:17">
      <c r="N852" s="30"/>
      <c r="O852" s="30"/>
      <c r="P852" s="30"/>
      <c r="Q852" s="552"/>
    </row>
    <row r="853" spans="14:17">
      <c r="N853" s="30"/>
      <c r="O853" s="30"/>
      <c r="P853" s="30"/>
      <c r="Q853" s="552"/>
    </row>
    <row r="854" spans="14:17">
      <c r="N854" s="30"/>
      <c r="O854" s="30"/>
      <c r="P854" s="30"/>
      <c r="Q854" s="552"/>
    </row>
    <row r="855" spans="14:17">
      <c r="N855" s="30"/>
      <c r="O855" s="30"/>
      <c r="P855" s="30"/>
      <c r="Q855" s="552"/>
    </row>
    <row r="856" spans="14:17">
      <c r="N856" s="30"/>
      <c r="O856" s="30"/>
      <c r="P856" s="30"/>
      <c r="Q856" s="552"/>
    </row>
    <row r="857" spans="14:17">
      <c r="N857" s="30"/>
      <c r="O857" s="30"/>
      <c r="P857" s="30"/>
      <c r="Q857" s="552"/>
    </row>
    <row r="858" spans="14:17">
      <c r="N858" s="30"/>
      <c r="O858" s="30"/>
      <c r="P858" s="30"/>
      <c r="Q858" s="552"/>
    </row>
    <row r="859" spans="14:17">
      <c r="N859" s="30"/>
      <c r="O859" s="30"/>
      <c r="P859" s="30"/>
      <c r="Q859" s="552"/>
    </row>
    <row r="860" spans="14:17">
      <c r="N860" s="30"/>
      <c r="O860" s="30"/>
      <c r="P860" s="30"/>
      <c r="Q860" s="552"/>
    </row>
    <row r="861" spans="14:17">
      <c r="N861" s="30"/>
      <c r="O861" s="30"/>
      <c r="P861" s="30"/>
      <c r="Q861" s="552"/>
    </row>
    <row r="862" spans="14:17">
      <c r="N862" s="30"/>
      <c r="O862" s="30"/>
      <c r="P862" s="30"/>
      <c r="Q862" s="552"/>
    </row>
    <row r="863" spans="14:17">
      <c r="N863" s="30"/>
      <c r="O863" s="30"/>
      <c r="P863" s="30"/>
      <c r="Q863" s="552"/>
    </row>
    <row r="864" spans="14:17">
      <c r="N864" s="30"/>
      <c r="O864" s="30"/>
      <c r="P864" s="30"/>
      <c r="Q864" s="552"/>
    </row>
    <row r="865" spans="14:17">
      <c r="N865" s="30"/>
      <c r="O865" s="30"/>
      <c r="P865" s="30"/>
      <c r="Q865" s="552"/>
    </row>
    <row r="866" spans="14:17">
      <c r="N866" s="30"/>
      <c r="O866" s="30"/>
      <c r="P866" s="30"/>
      <c r="Q866" s="552"/>
    </row>
    <row r="867" spans="14:17">
      <c r="N867" s="30"/>
      <c r="O867" s="30"/>
      <c r="P867" s="30"/>
      <c r="Q867" s="552"/>
    </row>
    <row r="868" spans="14:17">
      <c r="N868" s="30"/>
      <c r="O868" s="30"/>
      <c r="P868" s="30"/>
      <c r="Q868" s="552"/>
    </row>
    <row r="869" spans="14:17">
      <c r="N869" s="30"/>
      <c r="O869" s="30"/>
      <c r="P869" s="30"/>
      <c r="Q869" s="552"/>
    </row>
    <row r="870" spans="14:17">
      <c r="N870" s="30"/>
      <c r="O870" s="30"/>
      <c r="P870" s="30"/>
      <c r="Q870" s="552"/>
    </row>
    <row r="871" spans="14:17">
      <c r="N871" s="30"/>
      <c r="O871" s="30"/>
      <c r="P871" s="30"/>
      <c r="Q871" s="552"/>
    </row>
    <row r="872" spans="14:17">
      <c r="N872" s="30"/>
      <c r="O872" s="30"/>
      <c r="P872" s="30"/>
      <c r="Q872" s="552"/>
    </row>
    <row r="873" spans="14:17">
      <c r="N873" s="30"/>
      <c r="O873" s="30"/>
      <c r="P873" s="30"/>
      <c r="Q873" s="552"/>
    </row>
    <row r="874" spans="14:17">
      <c r="N874" s="30"/>
      <c r="O874" s="30"/>
      <c r="P874" s="30"/>
      <c r="Q874" s="552"/>
    </row>
    <row r="875" spans="14:17">
      <c r="N875" s="30"/>
      <c r="O875" s="30"/>
      <c r="P875" s="30"/>
      <c r="Q875" s="552"/>
    </row>
    <row r="876" spans="14:17">
      <c r="N876" s="30"/>
      <c r="O876" s="30"/>
      <c r="P876" s="30"/>
      <c r="Q876" s="552"/>
    </row>
    <row r="877" spans="14:17">
      <c r="N877" s="30"/>
      <c r="O877" s="30"/>
      <c r="P877" s="30"/>
      <c r="Q877" s="552"/>
    </row>
    <row r="878" spans="14:17">
      <c r="N878" s="30"/>
      <c r="O878" s="30"/>
      <c r="P878" s="30"/>
      <c r="Q878" s="552"/>
    </row>
    <row r="879" spans="14:17">
      <c r="N879" s="30"/>
      <c r="O879" s="30"/>
      <c r="P879" s="30"/>
      <c r="Q879" s="552"/>
    </row>
    <row r="880" spans="14:17">
      <c r="N880" s="30"/>
      <c r="O880" s="30"/>
      <c r="P880" s="30"/>
      <c r="Q880" s="552"/>
    </row>
    <row r="881" spans="14:17">
      <c r="N881" s="30"/>
      <c r="O881" s="30"/>
      <c r="P881" s="30"/>
      <c r="Q881" s="552"/>
    </row>
    <row r="882" spans="14:17">
      <c r="N882" s="30"/>
      <c r="O882" s="30"/>
      <c r="P882" s="30"/>
      <c r="Q882" s="552"/>
    </row>
    <row r="883" spans="14:17">
      <c r="N883" s="30"/>
      <c r="O883" s="30"/>
      <c r="P883" s="30"/>
      <c r="Q883" s="552"/>
    </row>
    <row r="884" spans="14:17">
      <c r="N884" s="30"/>
      <c r="O884" s="30"/>
      <c r="P884" s="30"/>
      <c r="Q884" s="552"/>
    </row>
    <row r="885" spans="14:17">
      <c r="N885" s="30"/>
      <c r="O885" s="30"/>
      <c r="P885" s="30"/>
      <c r="Q885" s="552"/>
    </row>
    <row r="886" spans="14:17">
      <c r="N886" s="30"/>
      <c r="O886" s="30"/>
      <c r="P886" s="30"/>
      <c r="Q886" s="552"/>
    </row>
    <row r="887" spans="14:17">
      <c r="N887" s="30"/>
      <c r="O887" s="30"/>
      <c r="P887" s="30"/>
      <c r="Q887" s="552"/>
    </row>
    <row r="888" spans="14:17">
      <c r="N888" s="30"/>
      <c r="O888" s="30"/>
      <c r="P888" s="30"/>
      <c r="Q888" s="552"/>
    </row>
    <row r="889" spans="14:17">
      <c r="N889" s="30"/>
      <c r="O889" s="30"/>
      <c r="P889" s="30"/>
      <c r="Q889" s="552"/>
    </row>
    <row r="890" spans="14:17">
      <c r="N890" s="30"/>
      <c r="O890" s="30"/>
      <c r="P890" s="30"/>
      <c r="Q890" s="552"/>
    </row>
    <row r="891" spans="14:17">
      <c r="N891" s="30"/>
      <c r="O891" s="30"/>
      <c r="P891" s="30"/>
      <c r="Q891" s="552"/>
    </row>
    <row r="892" spans="14:17">
      <c r="N892" s="30"/>
      <c r="O892" s="30"/>
      <c r="P892" s="30"/>
      <c r="Q892" s="552"/>
    </row>
    <row r="893" spans="14:17">
      <c r="N893" s="30"/>
      <c r="O893" s="30"/>
      <c r="P893" s="30"/>
      <c r="Q893" s="552"/>
    </row>
    <row r="894" spans="14:17">
      <c r="N894" s="30"/>
      <c r="O894" s="30"/>
      <c r="P894" s="30"/>
      <c r="Q894" s="552"/>
    </row>
    <row r="895" spans="14:17">
      <c r="N895" s="30"/>
      <c r="O895" s="30"/>
      <c r="P895" s="30"/>
      <c r="Q895" s="552"/>
    </row>
    <row r="896" spans="14:17">
      <c r="N896" s="30"/>
      <c r="O896" s="30"/>
      <c r="P896" s="30"/>
      <c r="Q896" s="552"/>
    </row>
    <row r="897" spans="14:17">
      <c r="N897" s="30"/>
      <c r="O897" s="30"/>
      <c r="P897" s="30"/>
      <c r="Q897" s="552"/>
    </row>
    <row r="898" spans="14:17">
      <c r="N898" s="30"/>
      <c r="O898" s="30"/>
      <c r="P898" s="30"/>
      <c r="Q898" s="552"/>
    </row>
    <row r="899" spans="14:17">
      <c r="N899" s="30"/>
      <c r="O899" s="30"/>
      <c r="P899" s="30"/>
      <c r="Q899" s="552"/>
    </row>
    <row r="900" spans="14:17">
      <c r="N900" s="30"/>
      <c r="O900" s="30"/>
      <c r="P900" s="30"/>
      <c r="Q900" s="552"/>
    </row>
    <row r="901" spans="14:17">
      <c r="N901" s="30"/>
      <c r="O901" s="30"/>
      <c r="P901" s="30"/>
      <c r="Q901" s="552"/>
    </row>
    <row r="902" spans="14:17">
      <c r="N902" s="30"/>
      <c r="O902" s="30"/>
      <c r="P902" s="30"/>
      <c r="Q902" s="552"/>
    </row>
    <row r="903" spans="14:17">
      <c r="N903" s="30"/>
      <c r="O903" s="30"/>
      <c r="P903" s="30"/>
      <c r="Q903" s="552"/>
    </row>
    <row r="904" spans="14:17">
      <c r="N904" s="30"/>
      <c r="O904" s="30"/>
      <c r="P904" s="30"/>
      <c r="Q904" s="552"/>
    </row>
    <row r="905" spans="14:17">
      <c r="N905" s="30"/>
      <c r="O905" s="30"/>
      <c r="P905" s="30"/>
      <c r="Q905" s="552"/>
    </row>
    <row r="906" spans="14:17">
      <c r="N906" s="30"/>
      <c r="O906" s="30"/>
      <c r="P906" s="30"/>
      <c r="Q906" s="552"/>
    </row>
    <row r="907" spans="14:17">
      <c r="N907" s="30"/>
      <c r="O907" s="30"/>
      <c r="P907" s="30"/>
      <c r="Q907" s="552"/>
    </row>
    <row r="908" spans="14:17">
      <c r="N908" s="30"/>
      <c r="O908" s="30"/>
      <c r="P908" s="30"/>
      <c r="Q908" s="552"/>
    </row>
    <row r="909" spans="14:17">
      <c r="N909" s="30"/>
      <c r="O909" s="30"/>
      <c r="P909" s="30"/>
      <c r="Q909" s="552"/>
    </row>
    <row r="910" spans="14:17">
      <c r="N910" s="30"/>
      <c r="O910" s="30"/>
      <c r="P910" s="30"/>
      <c r="Q910" s="552"/>
    </row>
    <row r="911" spans="14:17">
      <c r="N911" s="30"/>
      <c r="O911" s="30"/>
      <c r="P911" s="30"/>
      <c r="Q911" s="552"/>
    </row>
    <row r="912" spans="14:17">
      <c r="N912" s="30"/>
      <c r="O912" s="30"/>
      <c r="P912" s="30"/>
      <c r="Q912" s="552"/>
    </row>
    <row r="913" spans="14:17">
      <c r="N913" s="30"/>
      <c r="O913" s="30"/>
      <c r="P913" s="30"/>
      <c r="Q913" s="552"/>
    </row>
    <row r="914" spans="14:17">
      <c r="N914" s="30"/>
      <c r="O914" s="30"/>
      <c r="P914" s="30"/>
      <c r="Q914" s="552"/>
    </row>
    <row r="915" spans="14:17">
      <c r="N915" s="30"/>
      <c r="O915" s="30"/>
      <c r="P915" s="30"/>
      <c r="Q915" s="552"/>
    </row>
    <row r="916" spans="14:17">
      <c r="N916" s="30"/>
      <c r="O916" s="30"/>
      <c r="P916" s="30"/>
      <c r="Q916" s="552"/>
    </row>
    <row r="917" spans="14:17">
      <c r="N917" s="30"/>
      <c r="O917" s="30"/>
      <c r="P917" s="30"/>
      <c r="Q917" s="552"/>
    </row>
    <row r="918" spans="14:17">
      <c r="N918" s="30"/>
      <c r="O918" s="30"/>
      <c r="P918" s="30"/>
      <c r="Q918" s="552"/>
    </row>
    <row r="919" spans="14:17">
      <c r="N919" s="30"/>
      <c r="O919" s="30"/>
      <c r="P919" s="30"/>
      <c r="Q919" s="552"/>
    </row>
    <row r="920" spans="14:17">
      <c r="N920" s="30"/>
      <c r="O920" s="30"/>
      <c r="P920" s="30"/>
      <c r="Q920" s="552"/>
    </row>
    <row r="921" spans="14:17">
      <c r="N921" s="30"/>
      <c r="O921" s="30"/>
      <c r="P921" s="30"/>
      <c r="Q921" s="552"/>
    </row>
    <row r="922" spans="14:17">
      <c r="N922" s="30"/>
      <c r="O922" s="30"/>
      <c r="P922" s="30"/>
      <c r="Q922" s="552"/>
    </row>
    <row r="923" spans="14:17">
      <c r="N923" s="30"/>
      <c r="O923" s="30"/>
      <c r="P923" s="30"/>
      <c r="Q923" s="552"/>
    </row>
    <row r="924" spans="14:17">
      <c r="N924" s="30"/>
      <c r="O924" s="30"/>
      <c r="P924" s="30"/>
      <c r="Q924" s="552"/>
    </row>
    <row r="925" spans="14:17">
      <c r="N925" s="30"/>
      <c r="O925" s="30"/>
      <c r="P925" s="30"/>
      <c r="Q925" s="552"/>
    </row>
    <row r="926" spans="14:17">
      <c r="N926" s="30"/>
      <c r="O926" s="30"/>
      <c r="P926" s="30"/>
      <c r="Q926" s="552"/>
    </row>
    <row r="927" spans="14:17">
      <c r="N927" s="30"/>
      <c r="O927" s="30"/>
      <c r="P927" s="30"/>
      <c r="Q927" s="552"/>
    </row>
    <row r="928" spans="14:17">
      <c r="N928" s="30"/>
      <c r="O928" s="30"/>
      <c r="P928" s="30"/>
      <c r="Q928" s="552"/>
    </row>
    <row r="929" spans="14:17">
      <c r="N929" s="30"/>
      <c r="O929" s="30"/>
      <c r="P929" s="30"/>
      <c r="Q929" s="552"/>
    </row>
    <row r="930" spans="14:17">
      <c r="N930" s="30"/>
      <c r="O930" s="30"/>
      <c r="P930" s="30"/>
      <c r="Q930" s="552"/>
    </row>
    <row r="931" spans="14:17">
      <c r="N931" s="30"/>
      <c r="O931" s="30"/>
      <c r="P931" s="30"/>
      <c r="Q931" s="552"/>
    </row>
    <row r="932" spans="14:17">
      <c r="N932" s="30"/>
      <c r="O932" s="30"/>
      <c r="P932" s="30"/>
      <c r="Q932" s="552"/>
    </row>
    <row r="933" spans="14:17">
      <c r="N933" s="30"/>
      <c r="O933" s="30"/>
      <c r="P933" s="30"/>
      <c r="Q933" s="552"/>
    </row>
    <row r="934" spans="14:17">
      <c r="N934" s="30"/>
      <c r="O934" s="30"/>
      <c r="P934" s="30"/>
      <c r="Q934" s="552"/>
    </row>
    <row r="935" spans="14:17">
      <c r="N935" s="30"/>
      <c r="O935" s="30"/>
      <c r="P935" s="30"/>
      <c r="Q935" s="552"/>
    </row>
    <row r="936" spans="14:17">
      <c r="N936" s="30"/>
      <c r="O936" s="30"/>
      <c r="P936" s="30"/>
      <c r="Q936" s="552"/>
    </row>
    <row r="937" spans="14:17">
      <c r="N937" s="30"/>
      <c r="O937" s="30"/>
      <c r="P937" s="30"/>
      <c r="Q937" s="552"/>
    </row>
    <row r="938" spans="14:17">
      <c r="N938" s="30"/>
      <c r="O938" s="30"/>
      <c r="P938" s="30"/>
      <c r="Q938" s="552"/>
    </row>
    <row r="939" spans="14:17">
      <c r="N939" s="30"/>
      <c r="O939" s="30"/>
      <c r="P939" s="30"/>
      <c r="Q939" s="552"/>
    </row>
    <row r="940" spans="14:17">
      <c r="N940" s="30"/>
      <c r="O940" s="30"/>
      <c r="P940" s="30"/>
      <c r="Q940" s="552"/>
    </row>
    <row r="941" spans="14:17">
      <c r="N941" s="30"/>
      <c r="O941" s="30"/>
      <c r="P941" s="30"/>
      <c r="Q941" s="552"/>
    </row>
    <row r="942" spans="14:17">
      <c r="N942" s="30"/>
      <c r="O942" s="30"/>
      <c r="P942" s="30"/>
      <c r="Q942" s="552"/>
    </row>
    <row r="943" spans="14:17">
      <c r="N943" s="30"/>
      <c r="O943" s="30"/>
      <c r="P943" s="30"/>
      <c r="Q943" s="552"/>
    </row>
    <row r="944" spans="14:17">
      <c r="N944" s="30"/>
      <c r="O944" s="30"/>
      <c r="P944" s="30"/>
      <c r="Q944" s="552"/>
    </row>
    <row r="945" spans="14:17">
      <c r="N945" s="30"/>
      <c r="O945" s="30"/>
      <c r="P945" s="30"/>
      <c r="Q945" s="552"/>
    </row>
    <row r="946" spans="14:17">
      <c r="N946" s="30"/>
      <c r="O946" s="30"/>
      <c r="P946" s="30"/>
      <c r="Q946" s="552"/>
    </row>
    <row r="947" spans="14:17">
      <c r="N947" s="30"/>
      <c r="O947" s="30"/>
      <c r="P947" s="30"/>
      <c r="Q947" s="552"/>
    </row>
    <row r="948" spans="14:17">
      <c r="N948" s="30"/>
      <c r="O948" s="30"/>
      <c r="P948" s="30"/>
      <c r="Q948" s="552"/>
    </row>
    <row r="949" spans="14:17">
      <c r="N949" s="30"/>
      <c r="O949" s="30"/>
      <c r="P949" s="30"/>
      <c r="Q949" s="552"/>
    </row>
    <row r="950" spans="14:17">
      <c r="N950" s="30"/>
      <c r="O950" s="30"/>
      <c r="P950" s="30"/>
      <c r="Q950" s="552"/>
    </row>
    <row r="951" spans="14:17">
      <c r="N951" s="30"/>
      <c r="O951" s="30"/>
      <c r="P951" s="30"/>
      <c r="Q951" s="552"/>
    </row>
    <row r="952" spans="14:17">
      <c r="N952" s="30"/>
      <c r="O952" s="30"/>
      <c r="P952" s="30"/>
      <c r="Q952" s="552"/>
    </row>
    <row r="953" spans="14:17">
      <c r="N953" s="30"/>
      <c r="O953" s="30"/>
      <c r="P953" s="30"/>
      <c r="Q953" s="552"/>
    </row>
    <row r="954" spans="14:17">
      <c r="N954" s="30"/>
      <c r="O954" s="30"/>
      <c r="P954" s="30"/>
      <c r="Q954" s="552"/>
    </row>
    <row r="955" spans="14:17">
      <c r="N955" s="30"/>
      <c r="O955" s="30"/>
      <c r="P955" s="30"/>
      <c r="Q955" s="552"/>
    </row>
    <row r="956" spans="14:17">
      <c r="N956" s="30"/>
      <c r="O956" s="30"/>
      <c r="P956" s="30"/>
      <c r="Q956" s="552"/>
    </row>
    <row r="957" spans="14:17">
      <c r="N957" s="30"/>
      <c r="O957" s="30"/>
      <c r="P957" s="30"/>
      <c r="Q957" s="552"/>
    </row>
    <row r="958" spans="14:17">
      <c r="N958" s="30"/>
      <c r="O958" s="30"/>
      <c r="P958" s="30"/>
      <c r="Q958" s="552"/>
    </row>
    <row r="959" spans="14:17">
      <c r="N959" s="30"/>
      <c r="O959" s="30"/>
      <c r="P959" s="30"/>
      <c r="Q959" s="552"/>
    </row>
    <row r="960" spans="14:17">
      <c r="N960" s="30"/>
      <c r="O960" s="30"/>
      <c r="P960" s="30"/>
      <c r="Q960" s="552"/>
    </row>
    <row r="961" spans="14:17">
      <c r="N961" s="30"/>
      <c r="O961" s="30"/>
      <c r="P961" s="30"/>
      <c r="Q961" s="552"/>
    </row>
    <row r="962" spans="14:17">
      <c r="N962" s="30"/>
      <c r="O962" s="30"/>
      <c r="P962" s="30"/>
      <c r="Q962" s="552"/>
    </row>
    <row r="963" spans="14:17">
      <c r="N963" s="30"/>
      <c r="O963" s="30"/>
      <c r="P963" s="30"/>
      <c r="Q963" s="552"/>
    </row>
    <row r="964" spans="14:17">
      <c r="N964" s="30"/>
      <c r="O964" s="30"/>
      <c r="P964" s="30"/>
      <c r="Q964" s="552"/>
    </row>
    <row r="965" spans="14:17">
      <c r="N965" s="30"/>
      <c r="O965" s="30"/>
      <c r="P965" s="30"/>
      <c r="Q965" s="552"/>
    </row>
    <row r="966" spans="14:17">
      <c r="N966" s="30"/>
      <c r="O966" s="30"/>
      <c r="P966" s="30"/>
      <c r="Q966" s="552"/>
    </row>
    <row r="967" spans="14:17">
      <c r="N967" s="30"/>
      <c r="O967" s="30"/>
      <c r="P967" s="30"/>
      <c r="Q967" s="552"/>
    </row>
    <row r="968" spans="14:17">
      <c r="N968" s="30"/>
      <c r="O968" s="30"/>
      <c r="P968" s="30"/>
      <c r="Q968" s="552"/>
    </row>
    <row r="969" spans="14:17">
      <c r="N969" s="30"/>
      <c r="O969" s="30"/>
      <c r="P969" s="30"/>
      <c r="Q969" s="552"/>
    </row>
    <row r="970" spans="14:17">
      <c r="N970" s="30"/>
      <c r="O970" s="30"/>
      <c r="P970" s="30"/>
      <c r="Q970" s="552"/>
    </row>
    <row r="971" spans="14:17">
      <c r="N971" s="30"/>
      <c r="O971" s="30"/>
      <c r="P971" s="30"/>
      <c r="Q971" s="552"/>
    </row>
    <row r="972" spans="14:17">
      <c r="N972" s="30"/>
      <c r="O972" s="30"/>
      <c r="P972" s="30"/>
      <c r="Q972" s="552"/>
    </row>
    <row r="973" spans="14:17">
      <c r="N973" s="30"/>
      <c r="O973" s="30"/>
      <c r="P973" s="30"/>
      <c r="Q973" s="552"/>
    </row>
    <row r="974" spans="14:17">
      <c r="N974" s="30"/>
      <c r="O974" s="30"/>
      <c r="P974" s="30"/>
      <c r="Q974" s="552"/>
    </row>
    <row r="975" spans="14:17">
      <c r="N975" s="30"/>
      <c r="O975" s="30"/>
      <c r="P975" s="30"/>
      <c r="Q975" s="552"/>
    </row>
    <row r="976" spans="14:17">
      <c r="N976" s="30"/>
      <c r="O976" s="30"/>
      <c r="P976" s="30"/>
      <c r="Q976" s="552"/>
    </row>
    <row r="977" spans="14:17">
      <c r="N977" s="30"/>
      <c r="O977" s="30"/>
      <c r="P977" s="30"/>
      <c r="Q977" s="552"/>
    </row>
    <row r="978" spans="14:17">
      <c r="N978" s="30"/>
      <c r="O978" s="30"/>
      <c r="P978" s="30"/>
      <c r="Q978" s="552"/>
    </row>
    <row r="979" spans="14:17">
      <c r="N979" s="30"/>
      <c r="O979" s="30"/>
      <c r="P979" s="30"/>
      <c r="Q979" s="552"/>
    </row>
    <row r="980" spans="14:17">
      <c r="N980" s="30"/>
      <c r="O980" s="30"/>
      <c r="P980" s="30"/>
      <c r="Q980" s="552"/>
    </row>
    <row r="981" spans="14:17">
      <c r="N981" s="30"/>
      <c r="O981" s="30"/>
      <c r="P981" s="30"/>
      <c r="Q981" s="552"/>
    </row>
    <row r="982" spans="14:17">
      <c r="N982" s="30"/>
      <c r="O982" s="30"/>
      <c r="P982" s="30"/>
      <c r="Q982" s="552"/>
    </row>
    <row r="983" spans="14:17">
      <c r="N983" s="30"/>
      <c r="O983" s="30"/>
      <c r="P983" s="30"/>
      <c r="Q983" s="552"/>
    </row>
    <row r="984" spans="14:17">
      <c r="N984" s="30"/>
      <c r="O984" s="30"/>
      <c r="P984" s="30"/>
      <c r="Q984" s="552"/>
    </row>
    <row r="985" spans="14:17">
      <c r="N985" s="30"/>
      <c r="O985" s="30"/>
      <c r="P985" s="30"/>
      <c r="Q985" s="552"/>
    </row>
    <row r="986" spans="14:17">
      <c r="N986" s="30"/>
      <c r="O986" s="30"/>
      <c r="P986" s="30"/>
      <c r="Q986" s="552"/>
    </row>
    <row r="987" spans="14:17">
      <c r="N987" s="30"/>
      <c r="O987" s="30"/>
      <c r="P987" s="30"/>
      <c r="Q987" s="552"/>
    </row>
    <row r="988" spans="14:17">
      <c r="N988" s="30"/>
      <c r="O988" s="30"/>
      <c r="P988" s="30"/>
      <c r="Q988" s="552"/>
    </row>
    <row r="989" spans="14:17">
      <c r="N989" s="30"/>
      <c r="O989" s="30"/>
      <c r="P989" s="30"/>
      <c r="Q989" s="552"/>
    </row>
    <row r="990" spans="14:17">
      <c r="N990" s="30"/>
      <c r="O990" s="30"/>
      <c r="P990" s="30"/>
      <c r="Q990" s="552"/>
    </row>
    <row r="991" spans="14:17">
      <c r="N991" s="30"/>
      <c r="O991" s="30"/>
      <c r="P991" s="30"/>
      <c r="Q991" s="552"/>
    </row>
    <row r="992" spans="14:17">
      <c r="N992" s="30"/>
      <c r="O992" s="30"/>
      <c r="P992" s="30"/>
      <c r="Q992" s="552"/>
    </row>
    <row r="993" spans="14:17">
      <c r="N993" s="30"/>
      <c r="O993" s="30"/>
      <c r="P993" s="30"/>
      <c r="Q993" s="552"/>
    </row>
    <row r="994" spans="14:17">
      <c r="N994" s="30"/>
      <c r="O994" s="30"/>
      <c r="P994" s="30"/>
      <c r="Q994" s="552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</sheetPr>
  <dimension ref="A1:P50"/>
  <sheetViews>
    <sheetView view="pageBreakPreview" zoomScaleSheetLayoutView="100" workbookViewId="0">
      <pane xSplit="2" ySplit="6" topLeftCell="C31" activePane="bottomRight" state="frozen"/>
      <selection pane="topRight" activeCell="C1" sqref="C1"/>
      <selection pane="bottomLeft" activeCell="A7" sqref="A7"/>
      <selection pane="bottomRight" activeCell="M48" sqref="M48"/>
    </sheetView>
  </sheetViews>
  <sheetFormatPr defaultColWidth="9.140625" defaultRowHeight="12.75"/>
  <cols>
    <col min="1" max="1" width="8" style="280" bestFit="1" customWidth="1"/>
    <col min="2" max="2" width="49.7109375" style="280" customWidth="1"/>
    <col min="3" max="3" width="5.5703125" style="312" bestFit="1" customWidth="1"/>
    <col min="4" max="5" width="4.28515625" style="312" bestFit="1" customWidth="1"/>
    <col min="6" max="6" width="13.5703125" style="312" bestFit="1" customWidth="1"/>
    <col min="7" max="7" width="11.42578125" style="281" bestFit="1" customWidth="1"/>
    <col min="8" max="9" width="13.140625" style="281" customWidth="1"/>
    <col min="10" max="10" width="11.28515625" style="281" customWidth="1"/>
    <col min="11" max="11" width="11.28515625" style="281" bestFit="1" customWidth="1"/>
    <col min="12" max="12" width="11.42578125" style="281" bestFit="1" customWidth="1"/>
    <col min="13" max="13" width="10" style="281" customWidth="1"/>
    <col min="14" max="14" width="14" style="280" bestFit="1" customWidth="1"/>
    <col min="15" max="15" width="15" style="280" customWidth="1"/>
    <col min="16" max="16" width="12.42578125" style="280" customWidth="1"/>
    <col min="17" max="16384" width="9.140625" style="280"/>
  </cols>
  <sheetData>
    <row r="1" spans="1:13" ht="21">
      <c r="B1" s="828" t="s">
        <v>292</v>
      </c>
      <c r="C1" s="828"/>
      <c r="D1" s="828"/>
      <c r="E1" s="828"/>
      <c r="F1" s="828"/>
      <c r="G1" s="828"/>
      <c r="H1" s="828"/>
      <c r="I1" s="828"/>
      <c r="J1" s="828"/>
      <c r="K1" s="828"/>
      <c r="L1" s="828"/>
    </row>
    <row r="2" spans="1:13" ht="21">
      <c r="B2" s="828" t="s">
        <v>235</v>
      </c>
      <c r="C2" s="828"/>
      <c r="D2" s="828"/>
      <c r="E2" s="828"/>
      <c r="F2" s="828"/>
      <c r="G2" s="828"/>
      <c r="H2" s="828"/>
      <c r="I2" s="828"/>
      <c r="J2" s="828"/>
      <c r="K2" s="828"/>
      <c r="L2" s="828"/>
    </row>
    <row r="3" spans="1:13" ht="21">
      <c r="B3" s="828" t="str">
        <f>封面!E10&amp;封面!H10&amp;封面!I10&amp;封面!J10&amp;封面!K10&amp;封面!L10</f>
        <v>中華民國113年1月份</v>
      </c>
      <c r="C3" s="828"/>
      <c r="D3" s="828"/>
      <c r="E3" s="828"/>
      <c r="F3" s="828"/>
      <c r="G3" s="828"/>
      <c r="H3" s="828"/>
      <c r="I3" s="828"/>
      <c r="J3" s="828"/>
      <c r="K3" s="828"/>
      <c r="L3" s="828"/>
    </row>
    <row r="4" spans="1:13" ht="21">
      <c r="B4" s="282" t="s">
        <v>306</v>
      </c>
      <c r="C4" s="283"/>
      <c r="D4" s="283"/>
      <c r="E4" s="283"/>
      <c r="F4" s="283"/>
      <c r="G4" s="284"/>
      <c r="H4" s="284"/>
      <c r="I4" s="284"/>
      <c r="J4" s="829"/>
      <c r="K4" s="829"/>
      <c r="L4" s="830"/>
    </row>
    <row r="5" spans="1:13" ht="16.5">
      <c r="A5" s="831" t="s">
        <v>236</v>
      </c>
      <c r="B5" s="832"/>
      <c r="C5" s="835" t="s">
        <v>237</v>
      </c>
      <c r="D5" s="835"/>
      <c r="E5" s="835"/>
      <c r="F5" s="836" t="s">
        <v>238</v>
      </c>
      <c r="G5" s="838" t="s">
        <v>239</v>
      </c>
      <c r="H5" s="839"/>
      <c r="I5" s="839"/>
      <c r="J5" s="839"/>
      <c r="K5" s="839"/>
      <c r="L5" s="840"/>
    </row>
    <row r="6" spans="1:13" ht="39.75" customHeight="1">
      <c r="A6" s="833"/>
      <c r="B6" s="834"/>
      <c r="C6" s="279" t="s">
        <v>240</v>
      </c>
      <c r="D6" s="279" t="s">
        <v>241</v>
      </c>
      <c r="E6" s="279" t="s">
        <v>242</v>
      </c>
      <c r="F6" s="837"/>
      <c r="G6" s="285" t="s">
        <v>285</v>
      </c>
      <c r="H6" s="285" t="s">
        <v>286</v>
      </c>
      <c r="I6" s="285" t="s">
        <v>287</v>
      </c>
      <c r="J6" s="285" t="s">
        <v>289</v>
      </c>
      <c r="K6" s="285" t="s">
        <v>288</v>
      </c>
      <c r="L6" s="285" t="s">
        <v>290</v>
      </c>
    </row>
    <row r="7" spans="1:13" ht="21">
      <c r="A7" s="841" t="s">
        <v>243</v>
      </c>
      <c r="B7" s="842"/>
      <c r="C7" s="279"/>
      <c r="D7" s="279"/>
      <c r="E7" s="279"/>
      <c r="F7" s="286"/>
      <c r="G7" s="843">
        <f>SUM(G8:L9)</f>
        <v>7395198</v>
      </c>
      <c r="H7" s="844"/>
      <c r="I7" s="844"/>
      <c r="J7" s="844"/>
      <c r="K7" s="844"/>
      <c r="L7" s="845"/>
      <c r="M7" s="292">
        <f>SUM(G7:L7)</f>
        <v>7395198</v>
      </c>
    </row>
    <row r="8" spans="1:13" ht="16.5">
      <c r="A8" s="841" t="s">
        <v>244</v>
      </c>
      <c r="B8" s="842"/>
      <c r="C8" s="287"/>
      <c r="D8" s="287"/>
      <c r="E8" s="287"/>
      <c r="F8" s="288"/>
      <c r="G8" s="289">
        <f>'勾稽 (2)'!D25</f>
        <v>3</v>
      </c>
      <c r="H8" s="289">
        <f>'勾稽 (2)'!D26</f>
        <v>3685451</v>
      </c>
      <c r="I8" s="289">
        <f>'勾稽 (2)'!D27</f>
        <v>915150</v>
      </c>
      <c r="J8" s="289">
        <f>'勾稽 (2)'!D28</f>
        <v>894402</v>
      </c>
      <c r="K8" s="289">
        <f>'勾稽 (2)'!D29</f>
        <v>0</v>
      </c>
      <c r="L8" s="289">
        <f>'勾稽 (2)'!D30</f>
        <v>192</v>
      </c>
      <c r="M8" s="292">
        <f>SUM(G8:L8)</f>
        <v>5495198</v>
      </c>
    </row>
    <row r="9" spans="1:13" ht="16.5">
      <c r="A9" s="548"/>
      <c r="B9" s="549" t="s">
        <v>446</v>
      </c>
      <c r="C9" s="287"/>
      <c r="D9" s="287"/>
      <c r="E9" s="287"/>
      <c r="F9" s="288"/>
      <c r="G9" s="289"/>
      <c r="H9" s="289"/>
      <c r="I9" s="289"/>
      <c r="J9" s="289">
        <f>'勾稽 (2)'!E28</f>
        <v>1900000</v>
      </c>
      <c r="K9" s="289"/>
      <c r="L9" s="289"/>
      <c r="M9" s="292">
        <f>SUM(G9:L9)</f>
        <v>1900000</v>
      </c>
    </row>
    <row r="10" spans="1:13" ht="16.5">
      <c r="A10" s="841" t="s">
        <v>245</v>
      </c>
      <c r="B10" s="842"/>
      <c r="C10" s="290"/>
      <c r="D10" s="290"/>
      <c r="E10" s="290"/>
      <c r="F10" s="288"/>
      <c r="G10" s="291">
        <f t="shared" ref="G10:J10" si="0">SUM(G11:G13)</f>
        <v>0</v>
      </c>
      <c r="H10" s="291">
        <f t="shared" si="0"/>
        <v>0</v>
      </c>
      <c r="I10" s="291">
        <f t="shared" si="0"/>
        <v>0</v>
      </c>
      <c r="J10" s="291">
        <f t="shared" si="0"/>
        <v>0</v>
      </c>
      <c r="K10" s="291">
        <f t="shared" ref="K10" si="1">SUM(K11:K13)</f>
        <v>0</v>
      </c>
      <c r="L10" s="291">
        <f>SUM(L11:L13)</f>
        <v>0</v>
      </c>
      <c r="M10" s="292">
        <f>SUM(G10:L10)</f>
        <v>0</v>
      </c>
    </row>
    <row r="11" spans="1:13" ht="16.5">
      <c r="A11" s="318" t="s">
        <v>246</v>
      </c>
      <c r="B11" s="319"/>
      <c r="C11" s="290"/>
      <c r="D11" s="290"/>
      <c r="E11" s="290"/>
      <c r="F11" s="288"/>
      <c r="G11" s="293"/>
      <c r="H11" s="293"/>
      <c r="I11" s="293"/>
      <c r="J11" s="293"/>
      <c r="K11" s="293"/>
      <c r="L11" s="293"/>
      <c r="M11" s="292"/>
    </row>
    <row r="12" spans="1:13" ht="16.5">
      <c r="A12" s="318" t="s">
        <v>247</v>
      </c>
      <c r="B12" s="319"/>
      <c r="C12" s="290"/>
      <c r="D12" s="290"/>
      <c r="E12" s="290"/>
      <c r="F12" s="288"/>
      <c r="G12" s="293"/>
      <c r="H12" s="293"/>
      <c r="I12" s="293"/>
      <c r="J12" s="293"/>
      <c r="K12" s="293"/>
      <c r="L12" s="293"/>
      <c r="M12" s="292"/>
    </row>
    <row r="13" spans="1:13" ht="16.5">
      <c r="A13" s="318" t="s">
        <v>248</v>
      </c>
      <c r="B13" s="319"/>
      <c r="C13" s="290"/>
      <c r="D13" s="290"/>
      <c r="E13" s="290"/>
      <c r="F13" s="288"/>
      <c r="G13" s="293"/>
      <c r="H13" s="293"/>
      <c r="I13" s="293"/>
      <c r="J13" s="293"/>
      <c r="K13" s="293"/>
      <c r="L13" s="293"/>
      <c r="M13" s="292"/>
    </row>
    <row r="14" spans="1:13" ht="16.5">
      <c r="A14" s="826" t="s">
        <v>249</v>
      </c>
      <c r="B14" s="842"/>
      <c r="C14" s="290"/>
      <c r="D14" s="290"/>
      <c r="E14" s="290"/>
      <c r="F14" s="288"/>
      <c r="G14" s="294">
        <f t="shared" ref="G14:J14" si="2">SUM(G15:G34)</f>
        <v>0</v>
      </c>
      <c r="H14" s="294">
        <f t="shared" si="2"/>
        <v>682695</v>
      </c>
      <c r="I14" s="294">
        <f t="shared" si="2"/>
        <v>0</v>
      </c>
      <c r="J14" s="294">
        <f t="shared" si="2"/>
        <v>0</v>
      </c>
      <c r="K14" s="294">
        <f t="shared" ref="K14" si="3">SUM(K15:K34)</f>
        <v>0</v>
      </c>
      <c r="L14" s="294">
        <f>SUM(L15:L34)</f>
        <v>0</v>
      </c>
      <c r="M14" s="292">
        <f>SUM(G14:L14)</f>
        <v>682695</v>
      </c>
    </row>
    <row r="15" spans="1:13" ht="16.5">
      <c r="A15" s="318" t="s">
        <v>246</v>
      </c>
      <c r="B15" s="319"/>
      <c r="C15" s="295"/>
      <c r="D15" s="295"/>
      <c r="E15" s="295"/>
      <c r="F15" s="288"/>
      <c r="G15" s="296"/>
      <c r="H15" s="296">
        <v>9</v>
      </c>
      <c r="I15" s="296"/>
      <c r="J15" s="296"/>
      <c r="K15" s="296"/>
      <c r="L15" s="296"/>
    </row>
    <row r="16" spans="1:13" ht="16.5">
      <c r="A16" s="318" t="s">
        <v>247</v>
      </c>
      <c r="B16" s="319"/>
      <c r="C16" s="295"/>
      <c r="D16" s="295"/>
      <c r="E16" s="295"/>
      <c r="F16" s="297"/>
      <c r="G16" s="296"/>
      <c r="H16" s="296">
        <v>343</v>
      </c>
      <c r="I16" s="296"/>
      <c r="J16" s="296"/>
      <c r="K16" s="296"/>
      <c r="L16" s="296"/>
    </row>
    <row r="17" spans="1:13" ht="16.5">
      <c r="A17" s="318" t="s">
        <v>248</v>
      </c>
      <c r="B17" s="319"/>
      <c r="C17" s="295"/>
      <c r="D17" s="295"/>
      <c r="E17" s="295"/>
      <c r="F17" s="288"/>
      <c r="G17" s="296"/>
      <c r="H17" s="296">
        <v>378</v>
      </c>
      <c r="I17" s="296"/>
      <c r="J17" s="296"/>
      <c r="K17" s="296"/>
      <c r="L17" s="296"/>
    </row>
    <row r="18" spans="1:13" ht="16.5">
      <c r="A18" s="318" t="s">
        <v>250</v>
      </c>
      <c r="B18" s="319"/>
      <c r="C18" s="295"/>
      <c r="D18" s="295"/>
      <c r="E18" s="295"/>
      <c r="F18" s="288"/>
      <c r="G18" s="296"/>
      <c r="H18" s="296">
        <v>273016</v>
      </c>
      <c r="I18" s="296"/>
      <c r="J18" s="296"/>
      <c r="K18" s="296"/>
      <c r="L18" s="296"/>
      <c r="M18" s="280"/>
    </row>
    <row r="19" spans="1:13" ht="16.5">
      <c r="A19" s="318" t="s">
        <v>251</v>
      </c>
      <c r="B19" s="319"/>
      <c r="C19" s="295"/>
      <c r="D19" s="295"/>
      <c r="E19" s="295"/>
      <c r="F19" s="288"/>
      <c r="G19" s="296"/>
      <c r="H19" s="296">
        <v>54</v>
      </c>
      <c r="I19" s="296"/>
      <c r="J19" s="296"/>
      <c r="K19" s="296"/>
      <c r="L19" s="296"/>
      <c r="M19" s="280"/>
    </row>
    <row r="20" spans="1:13" ht="16.5">
      <c r="A20" s="318" t="s">
        <v>252</v>
      </c>
      <c r="B20" s="319"/>
      <c r="C20" s="295"/>
      <c r="D20" s="295"/>
      <c r="E20" s="295"/>
      <c r="F20" s="288"/>
      <c r="G20" s="296"/>
      <c r="H20" s="296">
        <v>408895</v>
      </c>
      <c r="I20" s="296"/>
      <c r="J20" s="296"/>
      <c r="K20" s="296"/>
      <c r="L20" s="296"/>
      <c r="M20" s="280"/>
    </row>
    <row r="21" spans="1:13" ht="16.5">
      <c r="A21" s="318" t="s">
        <v>253</v>
      </c>
      <c r="B21" s="319"/>
      <c r="C21" s="295"/>
      <c r="D21" s="295"/>
      <c r="E21" s="295"/>
      <c r="F21" s="288"/>
      <c r="G21" s="296"/>
      <c r="H21" s="296"/>
      <c r="I21" s="296"/>
      <c r="J21" s="296"/>
      <c r="K21" s="296"/>
      <c r="L21" s="296"/>
      <c r="M21" s="280"/>
    </row>
    <row r="22" spans="1:13" ht="16.5">
      <c r="A22" s="318" t="s">
        <v>254</v>
      </c>
      <c r="B22" s="319"/>
      <c r="C22" s="295"/>
      <c r="D22" s="295"/>
      <c r="E22" s="295"/>
      <c r="F22" s="288"/>
      <c r="G22" s="296"/>
      <c r="H22" s="296"/>
      <c r="I22" s="296"/>
      <c r="J22" s="296"/>
      <c r="K22" s="296"/>
      <c r="L22" s="296"/>
      <c r="M22" s="280"/>
    </row>
    <row r="23" spans="1:13" ht="16.5">
      <c r="A23" s="318" t="s">
        <v>255</v>
      </c>
      <c r="B23" s="319"/>
      <c r="C23" s="295"/>
      <c r="D23" s="295"/>
      <c r="E23" s="295"/>
      <c r="F23" s="288"/>
      <c r="G23" s="296"/>
      <c r="H23" s="296"/>
      <c r="I23" s="296"/>
      <c r="J23" s="296"/>
      <c r="K23" s="296"/>
      <c r="L23" s="296"/>
      <c r="M23" s="280"/>
    </row>
    <row r="24" spans="1:13" ht="16.5">
      <c r="A24" s="318" t="s">
        <v>256</v>
      </c>
      <c r="B24" s="319"/>
      <c r="C24" s="295"/>
      <c r="D24" s="295"/>
      <c r="E24" s="295"/>
      <c r="F24" s="288"/>
      <c r="G24" s="296"/>
      <c r="H24" s="296"/>
      <c r="I24" s="296"/>
      <c r="J24" s="296"/>
      <c r="K24" s="296"/>
      <c r="L24" s="296"/>
      <c r="M24" s="280"/>
    </row>
    <row r="25" spans="1:13" ht="16.5">
      <c r="A25" s="318" t="s">
        <v>257</v>
      </c>
      <c r="B25" s="319"/>
      <c r="C25" s="295"/>
      <c r="D25" s="295"/>
      <c r="E25" s="295"/>
      <c r="F25" s="288"/>
      <c r="G25" s="296"/>
      <c r="H25" s="296"/>
      <c r="I25" s="296"/>
      <c r="J25" s="296"/>
      <c r="K25" s="296"/>
      <c r="L25" s="296"/>
      <c r="M25" s="280"/>
    </row>
    <row r="26" spans="1:13" ht="16.5">
      <c r="A26" s="318" t="s">
        <v>258</v>
      </c>
      <c r="B26" s="319"/>
      <c r="C26" s="295"/>
      <c r="D26" s="295"/>
      <c r="E26" s="295"/>
      <c r="F26" s="288"/>
      <c r="G26" s="296"/>
      <c r="H26" s="296"/>
      <c r="I26" s="296"/>
      <c r="J26" s="296"/>
      <c r="K26" s="296"/>
      <c r="L26" s="296"/>
      <c r="M26" s="280"/>
    </row>
    <row r="27" spans="1:13" ht="16.5">
      <c r="A27" s="318" t="s">
        <v>259</v>
      </c>
      <c r="B27" s="319"/>
      <c r="C27" s="295"/>
      <c r="D27" s="295"/>
      <c r="E27" s="295"/>
      <c r="F27" s="288"/>
      <c r="G27" s="296"/>
      <c r="H27" s="296"/>
      <c r="I27" s="296"/>
      <c r="J27" s="296"/>
      <c r="K27" s="296"/>
      <c r="L27" s="296"/>
      <c r="M27" s="280"/>
    </row>
    <row r="28" spans="1:13" ht="16.5">
      <c r="A28" s="318" t="s">
        <v>260</v>
      </c>
      <c r="B28" s="319"/>
      <c r="C28" s="295"/>
      <c r="D28" s="295"/>
      <c r="E28" s="295"/>
      <c r="F28" s="288"/>
      <c r="G28" s="296"/>
      <c r="H28" s="296"/>
      <c r="I28" s="296"/>
      <c r="J28" s="296"/>
      <c r="K28" s="296"/>
      <c r="L28" s="296"/>
      <c r="M28" s="280"/>
    </row>
    <row r="29" spans="1:13" ht="16.5">
      <c r="A29" s="318" t="s">
        <v>261</v>
      </c>
      <c r="B29" s="319"/>
      <c r="C29" s="295"/>
      <c r="D29" s="295"/>
      <c r="E29" s="295"/>
      <c r="F29" s="288"/>
      <c r="G29" s="296"/>
      <c r="H29" s="296"/>
      <c r="I29" s="296"/>
      <c r="J29" s="296"/>
      <c r="K29" s="296"/>
      <c r="L29" s="296"/>
      <c r="M29" s="280"/>
    </row>
    <row r="30" spans="1:13" ht="16.5">
      <c r="A30" s="318" t="s">
        <v>262</v>
      </c>
      <c r="B30" s="319"/>
      <c r="C30" s="295"/>
      <c r="D30" s="295"/>
      <c r="E30" s="295"/>
      <c r="F30" s="288"/>
      <c r="G30" s="296"/>
      <c r="H30" s="296"/>
      <c r="I30" s="296"/>
      <c r="J30" s="296"/>
      <c r="K30" s="296"/>
      <c r="L30" s="296"/>
      <c r="M30" s="280"/>
    </row>
    <row r="31" spans="1:13" ht="16.5">
      <c r="A31" s="318" t="s">
        <v>263</v>
      </c>
      <c r="B31" s="319"/>
      <c r="C31" s="295"/>
      <c r="D31" s="295"/>
      <c r="E31" s="295"/>
      <c r="F31" s="288"/>
      <c r="G31" s="296"/>
      <c r="H31" s="296"/>
      <c r="I31" s="296"/>
      <c r="J31" s="296"/>
      <c r="K31" s="296"/>
      <c r="L31" s="296"/>
      <c r="M31" s="280"/>
    </row>
    <row r="32" spans="1:13" ht="16.5">
      <c r="A32" s="318" t="s">
        <v>264</v>
      </c>
      <c r="B32" s="319"/>
      <c r="C32" s="295"/>
      <c r="D32" s="295"/>
      <c r="E32" s="295"/>
      <c r="F32" s="288"/>
      <c r="G32" s="296"/>
      <c r="H32" s="296"/>
      <c r="I32" s="296"/>
      <c r="J32" s="296"/>
      <c r="K32" s="296"/>
      <c r="L32" s="296"/>
      <c r="M32" s="280"/>
    </row>
    <row r="33" spans="1:15" ht="16.5">
      <c r="A33" s="318" t="s">
        <v>265</v>
      </c>
      <c r="B33" s="319"/>
      <c r="C33" s="295"/>
      <c r="D33" s="295"/>
      <c r="E33" s="295"/>
      <c r="F33" s="288"/>
      <c r="G33" s="296"/>
      <c r="H33" s="296"/>
      <c r="I33" s="296"/>
      <c r="J33" s="296"/>
      <c r="K33" s="296"/>
      <c r="L33" s="296"/>
      <c r="M33" s="280"/>
    </row>
    <row r="34" spans="1:15" ht="16.5">
      <c r="A34" s="318" t="s">
        <v>266</v>
      </c>
      <c r="B34" s="319"/>
      <c r="C34" s="295"/>
      <c r="D34" s="295"/>
      <c r="E34" s="295"/>
      <c r="F34" s="288"/>
      <c r="G34" s="296"/>
      <c r="H34" s="296"/>
      <c r="I34" s="296"/>
      <c r="J34" s="296"/>
      <c r="K34" s="296"/>
      <c r="L34" s="296"/>
    </row>
    <row r="35" spans="1:15" ht="16.5">
      <c r="A35" s="826" t="s">
        <v>280</v>
      </c>
      <c r="B35" s="827"/>
      <c r="C35" s="298"/>
      <c r="D35" s="298"/>
      <c r="E35" s="298"/>
      <c r="F35" s="288"/>
      <c r="G35" s="299">
        <f t="shared" ref="G35:J35" si="4">SUM(G36:G38)</f>
        <v>0</v>
      </c>
      <c r="H35" s="299">
        <f t="shared" si="4"/>
        <v>0</v>
      </c>
      <c r="I35" s="299">
        <f t="shared" si="4"/>
        <v>0</v>
      </c>
      <c r="J35" s="299">
        <f t="shared" si="4"/>
        <v>0</v>
      </c>
      <c r="K35" s="299">
        <f t="shared" ref="K35" si="5">SUM(K36:K38)</f>
        <v>0</v>
      </c>
      <c r="L35" s="299">
        <f>SUM(L36:L38)</f>
        <v>0</v>
      </c>
      <c r="M35" s="292">
        <f>SUM(G35:L35)</f>
        <v>0</v>
      </c>
      <c r="N35" s="300"/>
    </row>
    <row r="36" spans="1:15" ht="16.5">
      <c r="A36" s="318" t="s">
        <v>281</v>
      </c>
      <c r="B36" s="319"/>
      <c r="C36" s="301"/>
      <c r="D36" s="301"/>
      <c r="E36" s="301"/>
      <c r="F36" s="302"/>
      <c r="G36" s="296"/>
      <c r="H36" s="296"/>
      <c r="I36" s="296"/>
      <c r="J36" s="296"/>
      <c r="K36" s="296"/>
      <c r="L36" s="296"/>
      <c r="N36" s="303"/>
    </row>
    <row r="37" spans="1:15" ht="16.5">
      <c r="A37" s="318" t="s">
        <v>247</v>
      </c>
      <c r="B37" s="319"/>
      <c r="C37" s="301"/>
      <c r="D37" s="301"/>
      <c r="E37" s="301"/>
      <c r="F37" s="302"/>
      <c r="G37" s="296"/>
      <c r="H37" s="296"/>
      <c r="I37" s="296"/>
      <c r="J37" s="296"/>
      <c r="K37" s="296"/>
      <c r="L37" s="296"/>
      <c r="N37" s="303"/>
    </row>
    <row r="38" spans="1:15" ht="16.5">
      <c r="A38" s="318" t="s">
        <v>248</v>
      </c>
      <c r="B38" s="319"/>
      <c r="C38" s="301"/>
      <c r="D38" s="301"/>
      <c r="E38" s="301"/>
      <c r="F38" s="302"/>
      <c r="G38" s="296"/>
      <c r="H38" s="296"/>
      <c r="I38" s="296"/>
      <c r="J38" s="296"/>
      <c r="K38" s="296"/>
      <c r="L38" s="296"/>
      <c r="N38" s="303"/>
    </row>
    <row r="39" spans="1:15" ht="16.5">
      <c r="A39" s="826" t="s">
        <v>282</v>
      </c>
      <c r="B39" s="827"/>
      <c r="C39" s="298"/>
      <c r="D39" s="298"/>
      <c r="E39" s="298"/>
      <c r="F39" s="288"/>
      <c r="G39" s="299">
        <f t="shared" ref="G39:J39" si="6">SUM(G40:G42)</f>
        <v>0</v>
      </c>
      <c r="H39" s="299">
        <f t="shared" si="6"/>
        <v>0</v>
      </c>
      <c r="I39" s="299">
        <f t="shared" si="6"/>
        <v>0</v>
      </c>
      <c r="J39" s="299">
        <f t="shared" si="6"/>
        <v>0</v>
      </c>
      <c r="K39" s="299">
        <f t="shared" ref="K39" si="7">SUM(K40:K42)</f>
        <v>0</v>
      </c>
      <c r="L39" s="299">
        <f>SUM(L40:L42)</f>
        <v>0</v>
      </c>
      <c r="M39" s="292">
        <f>SUM(G39:L39)</f>
        <v>0</v>
      </c>
      <c r="N39" s="300"/>
    </row>
    <row r="40" spans="1:15" ht="16.5">
      <c r="A40" s="318" t="s">
        <v>281</v>
      </c>
      <c r="B40" s="319"/>
      <c r="C40" s="301"/>
      <c r="D40" s="301"/>
      <c r="E40" s="301"/>
      <c r="F40" s="302"/>
      <c r="G40" s="296"/>
      <c r="H40" s="296"/>
      <c r="I40" s="296"/>
      <c r="J40" s="296"/>
      <c r="K40" s="296"/>
      <c r="L40" s="296"/>
      <c r="N40" s="303"/>
    </row>
    <row r="41" spans="1:15" ht="16.5">
      <c r="A41" s="318" t="s">
        <v>247</v>
      </c>
      <c r="B41" s="319"/>
      <c r="C41" s="301"/>
      <c r="D41" s="301"/>
      <c r="E41" s="301"/>
      <c r="F41" s="302"/>
      <c r="G41" s="296"/>
      <c r="H41" s="296"/>
      <c r="I41" s="296"/>
      <c r="J41" s="296"/>
      <c r="K41" s="296"/>
      <c r="L41" s="296"/>
      <c r="N41" s="303"/>
    </row>
    <row r="42" spans="1:15" ht="16.5">
      <c r="A42" s="318" t="s">
        <v>248</v>
      </c>
      <c r="B42" s="319"/>
      <c r="C42" s="301"/>
      <c r="D42" s="301"/>
      <c r="E42" s="301"/>
      <c r="F42" s="302"/>
      <c r="G42" s="296"/>
      <c r="H42" s="296"/>
      <c r="I42" s="296"/>
      <c r="J42" s="296"/>
      <c r="K42" s="296"/>
      <c r="L42" s="296"/>
      <c r="N42" s="303"/>
    </row>
    <row r="43" spans="1:15" ht="16.5">
      <c r="A43" s="841" t="s">
        <v>283</v>
      </c>
      <c r="B43" s="842"/>
      <c r="C43" s="290"/>
      <c r="D43" s="290"/>
      <c r="E43" s="290"/>
      <c r="F43" s="288"/>
      <c r="G43" s="304">
        <f>G8+G10+G14-G35-G39</f>
        <v>3</v>
      </c>
      <c r="H43" s="304">
        <f t="shared" ref="H43:L43" si="8">H8+H10+H14-H35-H39</f>
        <v>4368146</v>
      </c>
      <c r="I43" s="304">
        <f t="shared" si="8"/>
        <v>915150</v>
      </c>
      <c r="J43" s="304">
        <f t="shared" si="8"/>
        <v>894402</v>
      </c>
      <c r="K43" s="304">
        <f t="shared" ref="K43" si="9">K8+K10+K14-K35-K39</f>
        <v>0</v>
      </c>
      <c r="L43" s="304">
        <f t="shared" si="8"/>
        <v>192</v>
      </c>
      <c r="M43" s="292">
        <f>SUM(G43:L43)</f>
        <v>6177893</v>
      </c>
      <c r="N43" s="305"/>
      <c r="O43" s="306"/>
    </row>
    <row r="44" spans="1:15" ht="16.5">
      <c r="A44" s="548"/>
      <c r="B44" s="549" t="s">
        <v>446</v>
      </c>
      <c r="C44" s="290"/>
      <c r="D44" s="290"/>
      <c r="E44" s="290"/>
      <c r="F44" s="288"/>
      <c r="G44" s="547">
        <f>G9</f>
        <v>0</v>
      </c>
      <c r="H44" s="547">
        <f t="shared" ref="H44:L44" si="10">H9</f>
        <v>0</v>
      </c>
      <c r="I44" s="547">
        <f t="shared" si="10"/>
        <v>0</v>
      </c>
      <c r="J44" s="547">
        <f t="shared" si="10"/>
        <v>1900000</v>
      </c>
      <c r="K44" s="547">
        <f t="shared" ref="K44" si="11">K9</f>
        <v>0</v>
      </c>
      <c r="L44" s="547">
        <f t="shared" si="10"/>
        <v>0</v>
      </c>
      <c r="M44" s="292">
        <f>SUM(G44:L44)</f>
        <v>1900000</v>
      </c>
      <c r="N44" s="305"/>
      <c r="O44" s="306"/>
    </row>
    <row r="45" spans="1:15" ht="21">
      <c r="A45" s="841" t="s">
        <v>284</v>
      </c>
      <c r="B45" s="842"/>
      <c r="C45" s="290"/>
      <c r="D45" s="290"/>
      <c r="E45" s="290"/>
      <c r="F45" s="288"/>
      <c r="G45" s="846">
        <f>SUM(G43:L44)</f>
        <v>8077893</v>
      </c>
      <c r="H45" s="847"/>
      <c r="I45" s="847"/>
      <c r="J45" s="847"/>
      <c r="K45" s="847"/>
      <c r="L45" s="848"/>
      <c r="M45" s="292">
        <f>SUM(G45:L45)</f>
        <v>8077893</v>
      </c>
      <c r="N45" s="305"/>
      <c r="O45" s="306"/>
    </row>
    <row r="46" spans="1:15" ht="16.5">
      <c r="B46" s="307"/>
      <c r="C46" s="283"/>
      <c r="D46" s="283"/>
      <c r="E46" s="283"/>
      <c r="F46" s="283"/>
      <c r="G46" s="284"/>
      <c r="H46" s="284"/>
      <c r="I46" s="284"/>
      <c r="J46" s="284"/>
      <c r="K46" s="284"/>
      <c r="L46" s="284"/>
      <c r="N46" s="308"/>
      <c r="O46" s="309"/>
    </row>
    <row r="47" spans="1:15" ht="16.5">
      <c r="B47" s="307" t="s">
        <v>267</v>
      </c>
      <c r="C47" s="849" t="s">
        <v>268</v>
      </c>
      <c r="D47" s="849"/>
      <c r="E47" s="849"/>
      <c r="F47" s="849"/>
      <c r="G47" s="310"/>
      <c r="H47" s="310" t="s">
        <v>269</v>
      </c>
      <c r="I47" s="310"/>
      <c r="J47" s="310"/>
      <c r="K47" s="310"/>
      <c r="L47" s="284"/>
      <c r="N47" s="311"/>
      <c r="O47" s="309"/>
    </row>
    <row r="48" spans="1:15" s="585" customFormat="1" ht="16.5">
      <c r="B48" s="578"/>
      <c r="C48" s="579"/>
      <c r="D48" s="579"/>
      <c r="E48" s="579"/>
      <c r="F48" s="579" t="s">
        <v>450</v>
      </c>
      <c r="G48" s="580">
        <v>3</v>
      </c>
      <c r="H48" s="580">
        <v>4368146</v>
      </c>
      <c r="I48" s="580">
        <v>915150</v>
      </c>
      <c r="J48" s="580">
        <v>894402</v>
      </c>
      <c r="K48" s="580">
        <v>0</v>
      </c>
      <c r="L48" s="580">
        <v>192</v>
      </c>
      <c r="M48" s="586"/>
      <c r="N48" s="581"/>
      <c r="O48" s="582"/>
    </row>
    <row r="49" spans="3:16" s="585" customFormat="1" ht="16.5">
      <c r="C49" s="587"/>
      <c r="D49" s="587"/>
      <c r="E49" s="587"/>
      <c r="F49" s="587"/>
      <c r="G49" s="589">
        <f>G43-G48</f>
        <v>0</v>
      </c>
      <c r="H49" s="589">
        <f t="shared" ref="H49:L49" si="12">H43-H48</f>
        <v>0</v>
      </c>
      <c r="I49" s="589">
        <f t="shared" si="12"/>
        <v>0</v>
      </c>
      <c r="J49" s="589">
        <f t="shared" si="12"/>
        <v>0</v>
      </c>
      <c r="K49" s="589">
        <f t="shared" ref="K49" si="13">K43-K48</f>
        <v>0</v>
      </c>
      <c r="L49" s="589">
        <f t="shared" si="12"/>
        <v>0</v>
      </c>
      <c r="M49" s="586"/>
      <c r="N49" s="583"/>
      <c r="O49" s="584"/>
      <c r="P49" s="584"/>
    </row>
    <row r="50" spans="3:16" ht="16.5">
      <c r="N50" s="313"/>
      <c r="O50" s="313"/>
      <c r="P50" s="313"/>
    </row>
  </sheetData>
  <mergeCells count="19">
    <mergeCell ref="A39:B39"/>
    <mergeCell ref="A43:B43"/>
    <mergeCell ref="A45:B45"/>
    <mergeCell ref="G45:L45"/>
    <mergeCell ref="C47:F47"/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</mergeCells>
  <phoneticPr fontId="10" type="noConversion"/>
  <conditionalFormatting sqref="C8:E9">
    <cfRule type="expression" dxfId="7" priority="5" stopIfTrue="1">
      <formula>AND($O8&gt;0,$O8=$P8)</formula>
    </cfRule>
  </conditionalFormatting>
  <conditionalFormatting sqref="C15:E38">
    <cfRule type="expression" dxfId="6" priority="6" stopIfTrue="1">
      <formula>AND($N15&gt;0,$N15=$O15)</formula>
    </cfRule>
  </conditionalFormatting>
  <conditionalFormatting sqref="C39:E42">
    <cfRule type="expression" dxfId="5" priority="4" stopIfTrue="1">
      <formula>AND($N39&gt;0,$N39=$O39)</formula>
    </cfRule>
  </conditionalFormatting>
  <conditionalFormatting sqref="L8:L9 G8:J9">
    <cfRule type="expression" dxfId="4" priority="7" stopIfTrue="1">
      <formula>LEN(#REF!)&gt;7</formula>
    </cfRule>
    <cfRule type="expression" dxfId="3" priority="8" stopIfTrue="1">
      <formula>#REF!&lt;&gt;0</formula>
    </cfRule>
  </conditionalFormatting>
  <conditionalFormatting sqref="K8:K9">
    <cfRule type="expression" dxfId="2" priority="2" stopIfTrue="1">
      <formula>LEN(#REF!)&gt;7</formula>
    </cfRule>
    <cfRule type="expression" dxfId="1" priority="3" stopIfTrue="1">
      <formula>#REF!&lt;&gt;0</formula>
    </cfRule>
  </conditionalFormatting>
  <conditionalFormatting sqref="G49:L49">
    <cfRule type="cellIs" dxfId="0" priority="1" operator="not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230" bestFit="1" customWidth="1"/>
    <col min="14" max="14" width="9.7109375" style="230" bestFit="1" customWidth="1"/>
    <col min="15" max="15" width="13.28515625" style="231" bestFit="1" customWidth="1"/>
    <col min="16" max="16" width="12.5703125" style="243" customWidth="1"/>
    <col min="17" max="17" width="12.28515625" style="331" bestFit="1" customWidth="1"/>
    <col min="18" max="18" width="12" style="331" customWidth="1"/>
    <col min="19" max="16384" width="6.85546875" style="3"/>
  </cols>
  <sheetData>
    <row r="1" spans="1:16" ht="19.5">
      <c r="A1" s="717" t="str">
        <f>封面!$A$4</f>
        <v>彰化縣地方教育發展基金－彰化縣秀水鄉馬興國民小學</v>
      </c>
      <c r="B1" s="717"/>
      <c r="C1" s="717"/>
      <c r="D1" s="717"/>
      <c r="E1" s="717"/>
      <c r="F1" s="717"/>
      <c r="G1" s="717"/>
      <c r="H1" s="717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1">
      <c r="A4" s="733" t="s">
        <v>38</v>
      </c>
      <c r="B4" s="733"/>
      <c r="C4" s="733"/>
      <c r="D4" s="733"/>
      <c r="E4" s="733"/>
      <c r="F4" s="733"/>
      <c r="G4" s="733"/>
      <c r="H4" s="733"/>
    </row>
    <row r="5" spans="1:16" ht="6.75" customHeight="1"/>
    <row r="6" spans="1:16" ht="16.5">
      <c r="A6" s="718" t="str">
        <f>封面!$E$10&amp;封面!$H$10&amp;封面!$I$10&amp;封面!$J$10&amp;封面!$K$10&amp;封面!L10</f>
        <v>中華民國113年1月份</v>
      </c>
      <c r="B6" s="718"/>
      <c r="C6" s="718"/>
      <c r="D6" s="718"/>
      <c r="E6" s="718"/>
      <c r="F6" s="718"/>
      <c r="G6" s="718"/>
      <c r="H6" s="718"/>
    </row>
    <row r="7" spans="1:16" ht="14.25" customHeight="1">
      <c r="A7" s="659" t="s">
        <v>39</v>
      </c>
      <c r="B7" s="659"/>
      <c r="C7" s="659"/>
      <c r="D7" s="659"/>
      <c r="E7" s="659"/>
      <c r="F7" s="659"/>
      <c r="G7" s="659"/>
      <c r="H7" s="659"/>
      <c r="K7" s="144">
        <f t="shared" ref="K7:P7" si="0">K15-K34</f>
        <v>-761342</v>
      </c>
      <c r="L7" s="144">
        <f t="shared" si="0"/>
        <v>-1015711</v>
      </c>
      <c r="M7" s="144">
        <f t="shared" si="0"/>
        <v>159415</v>
      </c>
      <c r="N7" s="144">
        <f t="shared" si="0"/>
        <v>0</v>
      </c>
      <c r="O7" s="144">
        <f t="shared" si="0"/>
        <v>35854059</v>
      </c>
      <c r="P7" s="144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854" t="s">
        <v>40</v>
      </c>
      <c r="I9" s="143"/>
    </row>
    <row r="10" spans="1:16" ht="14.25" customHeight="1">
      <c r="A10" s="850" t="s">
        <v>41</v>
      </c>
      <c r="B10" s="852"/>
      <c r="C10" s="860" t="s">
        <v>51</v>
      </c>
      <c r="D10" s="852" t="s">
        <v>52</v>
      </c>
      <c r="E10" s="860" t="s">
        <v>53</v>
      </c>
      <c r="F10" s="860" t="s">
        <v>54</v>
      </c>
      <c r="G10" s="850" t="s">
        <v>42</v>
      </c>
      <c r="H10" s="855"/>
      <c r="I10" s="143"/>
      <c r="K10" s="200" t="s">
        <v>190</v>
      </c>
      <c r="L10" s="200" t="s">
        <v>191</v>
      </c>
      <c r="M10" s="857" t="s">
        <v>206</v>
      </c>
      <c r="N10" s="862" t="s">
        <v>218</v>
      </c>
      <c r="O10" s="859" t="s">
        <v>216</v>
      </c>
    </row>
    <row r="11" spans="1:16" ht="14.25">
      <c r="A11" s="851"/>
      <c r="B11" s="853"/>
      <c r="C11" s="861"/>
      <c r="D11" s="853"/>
      <c r="E11" s="861"/>
      <c r="F11" s="861"/>
      <c r="G11" s="851"/>
      <c r="H11" s="856"/>
      <c r="I11" s="143"/>
      <c r="M11" s="858"/>
      <c r="N11" s="863"/>
      <c r="O11" s="858"/>
      <c r="P11" s="244" t="s">
        <v>217</v>
      </c>
    </row>
    <row r="12" spans="1:16" ht="12.75" hidden="1" customHeight="1">
      <c r="H12" s="119"/>
      <c r="I12" s="143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1" t="s">
        <v>43</v>
      </c>
      <c r="B15" s="92"/>
      <c r="C15" s="219"/>
      <c r="D15" s="219"/>
      <c r="E15" s="219"/>
      <c r="F15" s="219"/>
      <c r="G15" s="265"/>
      <c r="H15" s="219"/>
      <c r="I15" s="14"/>
      <c r="J15" s="144">
        <f>D15-E15-H15</f>
        <v>0</v>
      </c>
      <c r="K15" s="246">
        <f>D15-[3]固定項目!D15</f>
        <v>-761342</v>
      </c>
      <c r="L15" s="246">
        <f>E15-[3]固定項目!E15</f>
        <v>-1015711</v>
      </c>
      <c r="M15" s="246">
        <f>SUM(M18:M36)</f>
        <v>159415</v>
      </c>
      <c r="N15" s="246">
        <f>SUM(N18:N36)</f>
        <v>0</v>
      </c>
      <c r="O15" s="246">
        <f>SUM(O18:O36)</f>
        <v>35854059</v>
      </c>
      <c r="P15" s="249">
        <f>SUM(P18:P36)</f>
        <v>-35854059</v>
      </c>
    </row>
    <row r="16" spans="1:16" ht="21" hidden="1" customHeight="1">
      <c r="A16" s="18"/>
      <c r="B16" s="18"/>
      <c r="C16" s="220"/>
      <c r="D16" s="220"/>
      <c r="E16" s="220"/>
      <c r="F16" s="220"/>
      <c r="G16" s="265"/>
      <c r="H16" s="220"/>
      <c r="I16" s="14"/>
      <c r="J16" s="144">
        <f t="shared" ref="J16:J36" si="1">D16-E16-H16</f>
        <v>0</v>
      </c>
      <c r="K16" s="247">
        <f>D16-[3]固定項目!D16</f>
        <v>0</v>
      </c>
      <c r="L16" s="247">
        <f>E16-[3]固定項目!E16</f>
        <v>0</v>
      </c>
      <c r="P16" s="249"/>
    </row>
    <row r="17" spans="1:18" ht="21" hidden="1" customHeight="1">
      <c r="A17" s="18"/>
      <c r="B17" s="18"/>
      <c r="C17" s="220"/>
      <c r="D17" s="220"/>
      <c r="E17" s="220"/>
      <c r="F17" s="220"/>
      <c r="G17" s="265"/>
      <c r="H17" s="220"/>
      <c r="I17" s="14"/>
      <c r="J17" s="144">
        <f t="shared" si="1"/>
        <v>0</v>
      </c>
      <c r="K17" s="247">
        <f>D17-[3]固定項目!D17</f>
        <v>0</v>
      </c>
      <c r="L17" s="247">
        <f>E17-[3]固定項目!E17</f>
        <v>0</v>
      </c>
      <c r="P17" s="249"/>
    </row>
    <row r="18" spans="1:18" ht="26.25" customHeight="1">
      <c r="A18" s="19"/>
      <c r="B18" s="93" t="s">
        <v>169</v>
      </c>
      <c r="C18" s="220"/>
      <c r="D18" s="220"/>
      <c r="E18" s="220"/>
      <c r="F18" s="220"/>
      <c r="G18" s="265"/>
      <c r="H18" s="220"/>
      <c r="I18" s="14"/>
      <c r="J18" s="144">
        <f t="shared" si="1"/>
        <v>0</v>
      </c>
      <c r="K18" s="247">
        <f>D18-[4]固定項目!D18</f>
        <v>0</v>
      </c>
      <c r="L18" s="247">
        <f>E18-[4]固定項目!E18</f>
        <v>0</v>
      </c>
      <c r="O18" s="248">
        <f>M18-N18+[4]固定項目!O18</f>
        <v>0</v>
      </c>
      <c r="P18" s="249"/>
    </row>
    <row r="19" spans="1:18" ht="21" hidden="1" customHeight="1">
      <c r="A19" s="18"/>
      <c r="B19" s="18"/>
      <c r="C19" s="220"/>
      <c r="D19" s="220"/>
      <c r="E19" s="220"/>
      <c r="F19" s="220"/>
      <c r="G19" s="265"/>
      <c r="H19" s="220"/>
      <c r="I19" s="14"/>
      <c r="J19" s="144">
        <f t="shared" si="1"/>
        <v>0</v>
      </c>
      <c r="K19" s="247">
        <f>D19-[4]固定項目!D20</f>
        <v>0</v>
      </c>
      <c r="L19" s="247">
        <f>E19-[4]固定項目!E20</f>
        <v>0</v>
      </c>
      <c r="O19" s="248">
        <f>M19-N19+[4]固定項目!O20</f>
        <v>0</v>
      </c>
      <c r="P19" s="249"/>
    </row>
    <row r="20" spans="1:18" ht="21" customHeight="1">
      <c r="A20" s="20"/>
      <c r="B20" s="94" t="s">
        <v>44</v>
      </c>
      <c r="C20" s="219"/>
      <c r="D20" s="219"/>
      <c r="E20" s="219"/>
      <c r="F20" s="219"/>
      <c r="G20" s="265"/>
      <c r="H20" s="219"/>
      <c r="I20" s="14"/>
      <c r="J20" s="144">
        <f t="shared" si="1"/>
        <v>0</v>
      </c>
      <c r="K20" s="247">
        <f>D20-[4]固定項目!D21</f>
        <v>0</v>
      </c>
      <c r="L20" s="247">
        <f>E20-[4]固定項目!E21</f>
        <v>0</v>
      </c>
      <c r="O20" s="248">
        <f>M20-N20+[4]固定項目!O21</f>
        <v>0</v>
      </c>
      <c r="P20" s="249">
        <f>C20+D20-E20-O20</f>
        <v>0</v>
      </c>
      <c r="Q20" s="331">
        <v>9760300</v>
      </c>
      <c r="R20" s="332">
        <f>P20-Q20</f>
        <v>-9760300</v>
      </c>
    </row>
    <row r="21" spans="1:18" ht="21" hidden="1" customHeight="1">
      <c r="A21" s="18"/>
      <c r="B21" s="18"/>
      <c r="C21" s="220"/>
      <c r="D21" s="220"/>
      <c r="E21" s="220"/>
      <c r="F21" s="220"/>
      <c r="G21" s="265"/>
      <c r="H21" s="220"/>
      <c r="I21" s="14"/>
      <c r="J21" s="144">
        <f t="shared" si="1"/>
        <v>0</v>
      </c>
      <c r="K21" s="247">
        <f>D21-[4]固定項目!D23</f>
        <v>0</v>
      </c>
      <c r="L21" s="247">
        <f>E21-[4]固定項目!E23</f>
        <v>0</v>
      </c>
      <c r="O21" s="248">
        <f>M21-N21+[4]固定項目!O23</f>
        <v>0</v>
      </c>
      <c r="P21" s="249">
        <f t="shared" ref="P21:P42" si="2">C21+D21-E21-O21</f>
        <v>0</v>
      </c>
      <c r="R21" s="332">
        <f t="shared" ref="R21:R30" si="3">P21-Q21</f>
        <v>0</v>
      </c>
    </row>
    <row r="22" spans="1:18" ht="21" customHeight="1">
      <c r="A22" s="20"/>
      <c r="B22" s="94" t="s">
        <v>45</v>
      </c>
      <c r="C22" s="219"/>
      <c r="D22" s="220"/>
      <c r="E22" s="220"/>
      <c r="F22" s="219"/>
      <c r="G22" s="265"/>
      <c r="H22" s="220"/>
      <c r="I22" s="14"/>
      <c r="J22" s="144">
        <f t="shared" si="1"/>
        <v>0</v>
      </c>
      <c r="K22" s="247">
        <f>D22-[4]固定項目!D24</f>
        <v>-65606</v>
      </c>
      <c r="L22" s="247">
        <f>E22-[4]固定項目!E24</f>
        <v>0</v>
      </c>
      <c r="M22" s="230">
        <v>32803</v>
      </c>
      <c r="O22" s="248">
        <f>M22-N22+[4]固定項目!O24</f>
        <v>2027157</v>
      </c>
      <c r="P22" s="249">
        <f t="shared" si="2"/>
        <v>-2027157</v>
      </c>
      <c r="Q22" s="331">
        <v>3532484</v>
      </c>
      <c r="R22" s="332">
        <f t="shared" si="3"/>
        <v>-5559641</v>
      </c>
    </row>
    <row r="23" spans="1:18" ht="21" hidden="1" customHeight="1">
      <c r="A23" s="18"/>
      <c r="B23" s="18"/>
      <c r="C23" s="220"/>
      <c r="D23" s="220"/>
      <c r="E23" s="220"/>
      <c r="F23" s="220"/>
      <c r="G23" s="265"/>
      <c r="H23" s="220"/>
      <c r="I23" s="14"/>
      <c r="J23" s="144">
        <f t="shared" si="1"/>
        <v>0</v>
      </c>
      <c r="K23" s="247">
        <f>D23-[4]固定項目!D26</f>
        <v>0</v>
      </c>
      <c r="L23" s="247">
        <f>E23-[4]固定項目!E26</f>
        <v>0</v>
      </c>
      <c r="O23" s="248">
        <f>M23-N23+[4]固定項目!O26</f>
        <v>0</v>
      </c>
      <c r="P23" s="249">
        <f t="shared" si="2"/>
        <v>0</v>
      </c>
      <c r="R23" s="332">
        <f t="shared" si="3"/>
        <v>0</v>
      </c>
    </row>
    <row r="24" spans="1:18" ht="21" customHeight="1">
      <c r="A24" s="20"/>
      <c r="B24" s="94" t="s">
        <v>46</v>
      </c>
      <c r="C24" s="219"/>
      <c r="D24" s="220"/>
      <c r="E24" s="219"/>
      <c r="F24" s="219"/>
      <c r="G24" s="265"/>
      <c r="H24" s="219"/>
      <c r="I24" s="14"/>
      <c r="J24" s="144">
        <f t="shared" si="1"/>
        <v>0</v>
      </c>
      <c r="K24" s="247">
        <f>D24-[4]固定項目!D27</f>
        <v>0</v>
      </c>
      <c r="L24" s="247">
        <f>E24-[4]固定項目!E27</f>
        <v>-462500</v>
      </c>
      <c r="M24" s="230">
        <v>83429</v>
      </c>
      <c r="O24" s="248">
        <f>M24-N24+[4]固定項目!O27</f>
        <v>24356499</v>
      </c>
      <c r="P24" s="249">
        <f t="shared" si="2"/>
        <v>-24356499</v>
      </c>
      <c r="Q24" s="331">
        <v>20166512</v>
      </c>
      <c r="R24" s="332">
        <f t="shared" si="3"/>
        <v>-44523011</v>
      </c>
    </row>
    <row r="25" spans="1:18" ht="21" hidden="1" customHeight="1">
      <c r="A25" s="18"/>
      <c r="B25" s="18"/>
      <c r="C25" s="220"/>
      <c r="D25" s="220"/>
      <c r="E25" s="220"/>
      <c r="F25" s="220"/>
      <c r="G25" s="265"/>
      <c r="H25" s="220"/>
      <c r="I25" s="14"/>
      <c r="J25" s="144">
        <f t="shared" si="1"/>
        <v>0</v>
      </c>
      <c r="K25" s="247">
        <f>D25-[4]固定項目!D29</f>
        <v>0</v>
      </c>
      <c r="L25" s="247">
        <f>E25-[4]固定項目!E29</f>
        <v>0</v>
      </c>
      <c r="O25" s="248">
        <f>M25-N25+[4]固定項目!O29</f>
        <v>0</v>
      </c>
      <c r="P25" s="249">
        <f t="shared" si="2"/>
        <v>0</v>
      </c>
      <c r="R25" s="332">
        <f t="shared" si="3"/>
        <v>0</v>
      </c>
    </row>
    <row r="26" spans="1:18" ht="21" customHeight="1">
      <c r="A26" s="20"/>
      <c r="B26" s="94" t="s">
        <v>47</v>
      </c>
      <c r="C26" s="219"/>
      <c r="D26" s="219"/>
      <c r="E26" s="219"/>
      <c r="F26" s="219"/>
      <c r="G26" s="265"/>
      <c r="H26" s="219"/>
      <c r="I26" s="14"/>
      <c r="J26" s="144">
        <f t="shared" si="1"/>
        <v>0</v>
      </c>
      <c r="K26" s="247">
        <f>D26-[4]固定項目!D30</f>
        <v>-112736</v>
      </c>
      <c r="L26" s="247">
        <f>E26-[4]固定項目!E30</f>
        <v>-343611</v>
      </c>
      <c r="M26" s="230">
        <v>24242</v>
      </c>
      <c r="O26" s="248">
        <f>M26-N26+[4]固定項目!O30</f>
        <v>4960805</v>
      </c>
      <c r="P26" s="249">
        <f t="shared" si="2"/>
        <v>-4960805</v>
      </c>
      <c r="Q26" s="331">
        <v>1123223</v>
      </c>
      <c r="R26" s="332">
        <f t="shared" si="3"/>
        <v>-6084028</v>
      </c>
    </row>
    <row r="27" spans="1:18" ht="21" hidden="1" customHeight="1">
      <c r="A27" s="18"/>
      <c r="B27" s="18"/>
      <c r="C27" s="220"/>
      <c r="D27" s="220"/>
      <c r="E27" s="220"/>
      <c r="F27" s="220"/>
      <c r="G27" s="265"/>
      <c r="H27" s="220"/>
      <c r="I27" s="14"/>
      <c r="J27" s="144">
        <f t="shared" si="1"/>
        <v>0</v>
      </c>
      <c r="K27" s="247">
        <f>D27-[4]固定項目!D32</f>
        <v>0</v>
      </c>
      <c r="L27" s="247">
        <f>E27-[4]固定項目!E32</f>
        <v>0</v>
      </c>
      <c r="O27" s="248">
        <f>M27-N27+[4]固定項目!O32</f>
        <v>0</v>
      </c>
      <c r="P27" s="249">
        <f t="shared" si="2"/>
        <v>0</v>
      </c>
      <c r="R27" s="332">
        <f t="shared" si="3"/>
        <v>0</v>
      </c>
    </row>
    <row r="28" spans="1:18" ht="21" customHeight="1">
      <c r="A28" s="20"/>
      <c r="B28" s="94" t="s">
        <v>48</v>
      </c>
      <c r="C28" s="219"/>
      <c r="D28" s="220"/>
      <c r="E28" s="219"/>
      <c r="F28" s="219"/>
      <c r="G28" s="265"/>
      <c r="H28" s="219"/>
      <c r="I28" s="14"/>
      <c r="J28" s="144">
        <f t="shared" si="1"/>
        <v>0</v>
      </c>
      <c r="K28" s="247">
        <f>D28-[4]固定項目!D33</f>
        <v>0</v>
      </c>
      <c r="L28" s="247">
        <f>E28-[4]固定項目!E33</f>
        <v>-98000</v>
      </c>
      <c r="M28" s="230">
        <v>5018</v>
      </c>
      <c r="O28" s="248">
        <f>M28-N28+[4]固定項目!O33</f>
        <v>707188</v>
      </c>
      <c r="P28" s="249">
        <f t="shared" si="2"/>
        <v>-707188</v>
      </c>
      <c r="Q28" s="331">
        <v>148230</v>
      </c>
      <c r="R28" s="332">
        <f t="shared" si="3"/>
        <v>-855418</v>
      </c>
    </row>
    <row r="29" spans="1:18" ht="21" hidden="1" customHeight="1">
      <c r="A29" s="18"/>
      <c r="B29" s="18"/>
      <c r="C29" s="220"/>
      <c r="D29" s="220"/>
      <c r="E29" s="220"/>
      <c r="F29" s="220"/>
      <c r="G29" s="265"/>
      <c r="H29" s="220"/>
      <c r="I29" s="14"/>
      <c r="J29" s="144">
        <f t="shared" si="1"/>
        <v>0</v>
      </c>
      <c r="K29" s="247">
        <f>D29-[4]固定項目!D35</f>
        <v>0</v>
      </c>
      <c r="L29" s="247">
        <f>E29-[4]固定項目!E35</f>
        <v>0</v>
      </c>
      <c r="O29" s="248">
        <f>M29-N29+[4]固定項目!O35</f>
        <v>0</v>
      </c>
      <c r="P29" s="249">
        <f t="shared" si="2"/>
        <v>0</v>
      </c>
      <c r="R29" s="332">
        <f t="shared" si="3"/>
        <v>0</v>
      </c>
    </row>
    <row r="30" spans="1:18" ht="21" customHeight="1">
      <c r="A30" s="20"/>
      <c r="B30" s="94" t="s">
        <v>200</v>
      </c>
      <c r="C30" s="219"/>
      <c r="D30" s="219"/>
      <c r="E30" s="219"/>
      <c r="F30" s="219"/>
      <c r="G30" s="265"/>
      <c r="H30" s="219"/>
      <c r="I30" s="14"/>
      <c r="J30" s="144">
        <f t="shared" si="1"/>
        <v>0</v>
      </c>
      <c r="K30" s="247">
        <f>D30-[4]固定項目!D36</f>
        <v>-596000</v>
      </c>
      <c r="L30" s="247">
        <f>E30-[4]固定項目!E36</f>
        <v>-111600</v>
      </c>
      <c r="M30" s="230">
        <v>13923</v>
      </c>
      <c r="O30" s="248">
        <f>M30-N30+[4]固定項目!O36</f>
        <v>3802410</v>
      </c>
      <c r="P30" s="249">
        <f t="shared" si="2"/>
        <v>-3802410</v>
      </c>
      <c r="Q30" s="331">
        <v>667523</v>
      </c>
      <c r="R30" s="332">
        <f t="shared" si="3"/>
        <v>-4469933</v>
      </c>
    </row>
    <row r="31" spans="1:18" ht="21" hidden="1" customHeight="1">
      <c r="A31" s="18"/>
      <c r="B31" s="18"/>
      <c r="C31" s="220"/>
      <c r="D31" s="220"/>
      <c r="E31" s="220"/>
      <c r="F31" s="220"/>
      <c r="G31" s="265"/>
      <c r="H31" s="220"/>
      <c r="I31" s="14"/>
      <c r="J31" s="144">
        <f t="shared" si="1"/>
        <v>0</v>
      </c>
      <c r="K31" s="247">
        <f>D31-[4]固定項目!D38</f>
        <v>0</v>
      </c>
      <c r="L31" s="247">
        <f>E31-[4]固定項目!E38</f>
        <v>0</v>
      </c>
      <c r="O31" s="248">
        <f>M31-N31+[4]固定項目!O38</f>
        <v>0</v>
      </c>
      <c r="P31" s="243">
        <f t="shared" si="2"/>
        <v>0</v>
      </c>
    </row>
    <row r="32" spans="1:18" ht="21" customHeight="1">
      <c r="A32" s="20"/>
      <c r="B32" s="94" t="s">
        <v>49</v>
      </c>
      <c r="C32" s="220"/>
      <c r="D32" s="220"/>
      <c r="E32" s="220"/>
      <c r="F32" s="220"/>
      <c r="G32" s="265"/>
      <c r="H32" s="220"/>
      <c r="I32" s="14"/>
      <c r="J32" s="144">
        <f t="shared" si="1"/>
        <v>0</v>
      </c>
      <c r="K32" s="247">
        <f>D32-[4]固定項目!D39</f>
        <v>0</v>
      </c>
      <c r="L32" s="247">
        <f>E32-[4]固定項目!E39</f>
        <v>0</v>
      </c>
      <c r="O32" s="248">
        <f>M32-N32+[4]固定項目!O39</f>
        <v>0</v>
      </c>
      <c r="P32" s="243">
        <f t="shared" si="2"/>
        <v>0</v>
      </c>
    </row>
    <row r="33" spans="1:16" ht="21" hidden="1" customHeight="1">
      <c r="A33" s="18"/>
      <c r="B33" s="18"/>
      <c r="C33" s="220"/>
      <c r="D33" s="220"/>
      <c r="E33" s="220"/>
      <c r="F33" s="220"/>
      <c r="G33" s="265"/>
      <c r="H33" s="220"/>
      <c r="I33" s="14"/>
      <c r="J33" s="144">
        <f t="shared" si="1"/>
        <v>0</v>
      </c>
      <c r="K33" s="247">
        <f>D33-[4]固定項目!D41</f>
        <v>0</v>
      </c>
      <c r="L33" s="247">
        <f>E33-[4]固定項目!E41</f>
        <v>0</v>
      </c>
      <c r="O33" s="248">
        <f>M33-N33+[4]固定項目!O41</f>
        <v>0</v>
      </c>
      <c r="P33" s="243">
        <f t="shared" si="2"/>
        <v>0</v>
      </c>
    </row>
    <row r="34" spans="1:16" ht="21" customHeight="1">
      <c r="A34" s="20"/>
      <c r="B34" s="94" t="s">
        <v>201</v>
      </c>
      <c r="C34" s="219"/>
      <c r="D34" s="220"/>
      <c r="E34" s="220"/>
      <c r="F34" s="219"/>
      <c r="G34" s="265"/>
      <c r="H34" s="220"/>
      <c r="I34" s="14"/>
      <c r="J34" s="144">
        <f t="shared" si="1"/>
        <v>0</v>
      </c>
      <c r="K34" s="247">
        <f>D34-[4]固定項目!D42</f>
        <v>0</v>
      </c>
      <c r="L34" s="247">
        <f>E34-[4]固定項目!E42</f>
        <v>0</v>
      </c>
      <c r="M34" s="245"/>
      <c r="N34" s="245">
        <f>E34</f>
        <v>0</v>
      </c>
      <c r="O34" s="248">
        <f>M34-N34+[4]固定項目!O42</f>
        <v>0</v>
      </c>
      <c r="P34" s="243">
        <f t="shared" si="2"/>
        <v>0</v>
      </c>
    </row>
    <row r="35" spans="1:16" ht="21" hidden="1" customHeight="1">
      <c r="A35" s="18"/>
      <c r="B35" s="18"/>
      <c r="C35" s="220"/>
      <c r="D35" s="220"/>
      <c r="E35" s="220"/>
      <c r="F35" s="220"/>
      <c r="G35" s="265"/>
      <c r="H35" s="220"/>
      <c r="I35" s="14"/>
      <c r="J35" s="144">
        <f t="shared" si="1"/>
        <v>0</v>
      </c>
      <c r="K35" s="247">
        <f>D35-[4]固定項目!D44</f>
        <v>0</v>
      </c>
      <c r="L35" s="247">
        <f>E35-[4]固定項目!E44</f>
        <v>0</v>
      </c>
      <c r="O35" s="248">
        <f>M35-N35+[4]固定項目!O44</f>
        <v>0</v>
      </c>
      <c r="P35" s="243">
        <f t="shared" si="2"/>
        <v>0</v>
      </c>
    </row>
    <row r="36" spans="1:16" ht="21" customHeight="1">
      <c r="A36" s="20"/>
      <c r="B36" s="94" t="s">
        <v>50</v>
      </c>
      <c r="C36" s="220"/>
      <c r="D36" s="220"/>
      <c r="E36" s="220"/>
      <c r="F36" s="220"/>
      <c r="G36" s="266"/>
      <c r="H36" s="220"/>
      <c r="I36" s="14"/>
      <c r="J36" s="144">
        <f t="shared" si="1"/>
        <v>0</v>
      </c>
      <c r="K36" s="247">
        <f>D36-[4]固定項目!D45</f>
        <v>0</v>
      </c>
      <c r="L36" s="247">
        <f>E36-[4]固定項目!E45</f>
        <v>0</v>
      </c>
      <c r="O36" s="248">
        <f>M36-N36+[4]固定項目!O45</f>
        <v>0</v>
      </c>
      <c r="P36" s="243">
        <f t="shared" si="2"/>
        <v>0</v>
      </c>
    </row>
    <row r="37" spans="1:16" ht="21" hidden="1" customHeight="1">
      <c r="A37" s="225"/>
      <c r="B37" s="226"/>
      <c r="C37" s="14"/>
      <c r="D37" s="14"/>
      <c r="E37" s="14"/>
      <c r="F37" s="14"/>
      <c r="G37" s="267"/>
      <c r="H37" s="14"/>
      <c r="O37" s="248">
        <f>M37-N37+[4]固定項目!O47</f>
        <v>0</v>
      </c>
      <c r="P37" s="243">
        <f t="shared" si="2"/>
        <v>0</v>
      </c>
    </row>
    <row r="38" spans="1:16" ht="21" customHeight="1">
      <c r="A38" s="225"/>
      <c r="B38" s="227" t="s">
        <v>202</v>
      </c>
      <c r="C38" s="14"/>
      <c r="D38" s="14"/>
      <c r="E38" s="14"/>
      <c r="F38" s="14"/>
      <c r="G38" s="267"/>
      <c r="H38" s="14"/>
      <c r="O38" s="248">
        <f>M38-N38+[4]固定項目!O48</f>
        <v>0</v>
      </c>
      <c r="P38" s="243">
        <f t="shared" si="2"/>
        <v>0</v>
      </c>
    </row>
    <row r="39" spans="1:16" ht="21" hidden="1" customHeight="1">
      <c r="A39" s="225"/>
      <c r="B39" s="226"/>
      <c r="C39" s="14"/>
      <c r="D39" s="14"/>
      <c r="E39" s="14"/>
      <c r="F39" s="14"/>
      <c r="G39" s="267"/>
      <c r="H39" s="14"/>
      <c r="O39" s="248">
        <f>M39-N39+[4]固定項目!O50</f>
        <v>0</v>
      </c>
      <c r="P39" s="243">
        <f t="shared" si="2"/>
        <v>0</v>
      </c>
    </row>
    <row r="40" spans="1:16" ht="21" customHeight="1">
      <c r="A40" s="225"/>
      <c r="B40" s="227" t="s">
        <v>203</v>
      </c>
      <c r="C40" s="14"/>
      <c r="D40" s="14"/>
      <c r="E40" s="14"/>
      <c r="F40" s="14"/>
      <c r="G40" s="267"/>
      <c r="H40" s="14"/>
      <c r="O40" s="248">
        <f>M40-N40+[4]固定項目!O51</f>
        <v>0</v>
      </c>
      <c r="P40" s="243">
        <f t="shared" si="2"/>
        <v>0</v>
      </c>
    </row>
    <row r="41" spans="1:16" ht="21" hidden="1" customHeight="1">
      <c r="A41" s="225"/>
      <c r="B41" s="226"/>
      <c r="C41" s="14"/>
      <c r="D41" s="14"/>
      <c r="E41" s="14"/>
      <c r="F41" s="14"/>
      <c r="G41" s="267"/>
      <c r="H41" s="14"/>
      <c r="O41" s="248">
        <f>M41-N41+[4]固定項目!O53</f>
        <v>0</v>
      </c>
      <c r="P41" s="243">
        <f t="shared" si="2"/>
        <v>0</v>
      </c>
    </row>
    <row r="42" spans="1:16" ht="21" customHeight="1">
      <c r="A42" s="225"/>
      <c r="B42" s="228" t="s">
        <v>204</v>
      </c>
      <c r="C42" s="14"/>
      <c r="D42" s="14"/>
      <c r="E42" s="14"/>
      <c r="F42" s="14"/>
      <c r="G42" s="267"/>
      <c r="H42" s="14"/>
      <c r="O42" s="248">
        <f>M42-N42+[4]固定項目!O54</f>
        <v>0</v>
      </c>
      <c r="P42" s="243">
        <f t="shared" si="2"/>
        <v>0</v>
      </c>
    </row>
    <row r="43" spans="1:16" ht="12.75" hidden="1" customHeight="1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4.25"/>
  <cols>
    <col min="1" max="1" width="47.42578125" customWidth="1"/>
    <col min="2" max="2" width="60.7109375" customWidth="1"/>
    <col min="3" max="3" width="21.42578125" style="176" bestFit="1" customWidth="1"/>
    <col min="4" max="5" width="11.5703125" style="157" customWidth="1"/>
    <col min="6" max="6" width="12.85546875" style="157" bestFit="1" customWidth="1"/>
    <col min="7" max="7" width="17.85546875" style="157" customWidth="1"/>
    <col min="8" max="8" width="9.5703125" customWidth="1"/>
  </cols>
  <sheetData>
    <row r="1" spans="1:8">
      <c r="A1" s="626" t="s">
        <v>144</v>
      </c>
      <c r="B1" s="626"/>
    </row>
    <row r="2" spans="1:8">
      <c r="A2" s="627" t="s">
        <v>145</v>
      </c>
      <c r="B2" s="626"/>
    </row>
    <row r="3" spans="1:8">
      <c r="A3" s="626" t="s">
        <v>146</v>
      </c>
      <c r="B3" s="626"/>
    </row>
    <row r="4" spans="1:8" ht="28.5">
      <c r="A4" s="626" t="s">
        <v>147</v>
      </c>
      <c r="B4" s="626"/>
      <c r="C4" s="177" t="s">
        <v>179</v>
      </c>
      <c r="D4" s="189" t="s">
        <v>180</v>
      </c>
      <c r="E4" s="157" t="s">
        <v>182</v>
      </c>
      <c r="F4" s="189" t="s">
        <v>181</v>
      </c>
    </row>
    <row r="5" spans="1:8">
      <c r="A5" s="627" t="s">
        <v>148</v>
      </c>
      <c r="B5" s="626"/>
      <c r="C5" s="178" t="e">
        <f>VLOOKUP("應付費用",平衡!$N$13:$U$64,4,0)</f>
        <v>#N/A</v>
      </c>
      <c r="D5" s="179">
        <f>縣庫對帳!P6</f>
        <v>46454</v>
      </c>
      <c r="E5" s="179">
        <v>40000</v>
      </c>
      <c r="F5" s="179">
        <f>庫款差額!C8+庫款差額!C15-庫款差額!C18-庫款差額!C21</f>
        <v>2892000</v>
      </c>
    </row>
    <row r="6" spans="1:8" ht="15" thickBot="1">
      <c r="A6" s="624" t="s">
        <v>149</v>
      </c>
      <c r="B6" s="625"/>
      <c r="C6" s="176" t="s">
        <v>163</v>
      </c>
      <c r="D6" s="191">
        <f>VLOOKUP("銀行存款-縣庫存款",平衡!$E$13:$H$41,4,0)+VLOOKUP("零用及週轉金",平衡!$D$13:$H$41,5,0)</f>
        <v>2569373</v>
      </c>
      <c r="E6" s="191" t="e">
        <f>VLOOKUP("基金餘額",平衡!$K$13:$U$64,7,0)+C5</f>
        <v>#N/A</v>
      </c>
      <c r="F6" s="162" t="s">
        <v>162</v>
      </c>
    </row>
    <row r="7" spans="1:8" ht="15" thickBot="1">
      <c r="A7" s="624" t="s">
        <v>150</v>
      </c>
      <c r="B7" s="625"/>
      <c r="C7" s="176" t="s">
        <v>164</v>
      </c>
      <c r="D7" s="191">
        <f>VLOOKUP("銀行存款-專戶存款",平衡!$E$13:$H$41,4,0)+VLOOKUP("其他預付款",平衡!$D$13:$H$41,5,0)</f>
        <v>7436766</v>
      </c>
      <c r="E7" s="191" t="e">
        <f>VLOOKUP("應付代收款",平衡!$N$13:$U$41,7,0)+VLOOKUP("存入保證金",平衡!$N$13:$U$41,7,0)</f>
        <v>#N/A</v>
      </c>
      <c r="F7" s="162" t="s">
        <v>165</v>
      </c>
    </row>
    <row r="8" spans="1:8" ht="20.25" thickBot="1">
      <c r="A8" s="77" t="s">
        <v>124</v>
      </c>
      <c r="B8" s="78" t="s">
        <v>125</v>
      </c>
      <c r="C8" s="176" t="s">
        <v>161</v>
      </c>
      <c r="D8" s="192">
        <f>VLOOKUP("合計：",平衡!$A$13:$H$41,8,0)</f>
        <v>72233691</v>
      </c>
      <c r="E8" s="192" t="e">
        <f>VLOOKUP("合計：",平衡!$K$13:$U$41,10,0)</f>
        <v>#N/A</v>
      </c>
    </row>
    <row r="9" spans="1:8" ht="17.25" thickBot="1">
      <c r="A9" s="73" t="s">
        <v>126</v>
      </c>
      <c r="B9" s="74" t="s">
        <v>127</v>
      </c>
      <c r="C9" s="176" t="s">
        <v>168</v>
      </c>
      <c r="D9" s="192">
        <f>VLOOKUP("基金用途",餘絀表!$C$16:$T$45,18,0)</f>
        <v>6951569</v>
      </c>
      <c r="E9" s="192">
        <f>VLOOKUP("合       計",各項費用!$D$12:$Q$86,14)</f>
        <v>6951569</v>
      </c>
      <c r="F9" s="192">
        <f>縣庫對帳!P3</f>
        <v>6951569</v>
      </c>
    </row>
    <row r="10" spans="1:8" ht="33.75" thickBot="1">
      <c r="A10" s="73" t="s">
        <v>128</v>
      </c>
      <c r="B10" s="74" t="s">
        <v>129</v>
      </c>
      <c r="C10" s="176" t="s">
        <v>323</v>
      </c>
      <c r="D10" s="192">
        <f>VLOOKUP("基金來源",餘絀表!$C$16:$T$45,18,0)</f>
        <v>6269000</v>
      </c>
      <c r="E10" s="192">
        <f>縣庫對帳!N3</f>
        <v>6269000</v>
      </c>
      <c r="F10" s="192"/>
      <c r="G10" s="192"/>
      <c r="H10" s="157" t="e">
        <f>D13-E13</f>
        <v>#N/A</v>
      </c>
    </row>
    <row r="11" spans="1:8" ht="27" customHeight="1">
      <c r="A11" s="619" t="s">
        <v>27</v>
      </c>
      <c r="B11" s="619" t="s">
        <v>130</v>
      </c>
      <c r="C11" s="176" t="s">
        <v>334</v>
      </c>
      <c r="D11" s="192">
        <f>VLOOKUP("政府撥入收入",餘絀表!$C$16:$T$45,18,0)</f>
        <v>6269000</v>
      </c>
      <c r="E11" s="192"/>
      <c r="F11" s="192">
        <f>VLOOKUP("政府撥入收入",收支!$B$14:$N$62,13,0)</f>
        <v>6269000</v>
      </c>
      <c r="G11" s="192">
        <f>VLOOKUP("政府撥入收入",對照表!$B$1:$E$28,4,0)</f>
        <v>6269000</v>
      </c>
    </row>
    <row r="12" spans="1:8" ht="28.5">
      <c r="A12" s="622"/>
      <c r="B12" s="622"/>
      <c r="C12" s="176" t="s">
        <v>335</v>
      </c>
      <c r="D12" s="192"/>
      <c r="E12" s="192"/>
      <c r="F12" s="192">
        <f>VLOOKUP("收入",收支!$A$14:$N$62,14,0)</f>
        <v>6269000</v>
      </c>
      <c r="G12" s="192">
        <f>VLOOKUP("基金來源",對照表!$A$1:$E$28,5,0)</f>
        <v>6269000</v>
      </c>
    </row>
    <row r="13" spans="1:8">
      <c r="A13" s="622"/>
      <c r="B13" s="622"/>
      <c r="C13" s="176" t="s">
        <v>320</v>
      </c>
      <c r="D13" s="192" t="e">
        <f>IF(封面!J10=12,0,VLOOKUP($G$13,平衡!$N$13:$U$41,7,0))</f>
        <v>#N/A</v>
      </c>
      <c r="E13" s="192" t="e">
        <f>IF(封面!J10=12,0,VLOOKUP("本期賸餘（短絀）",收支!$A$14:$N$36,14,0))</f>
        <v>#N/A</v>
      </c>
      <c r="F13" s="192">
        <f>IF(封面!K10=12,0,VLOOKUP("本期賸餘(短絀)",對照表!$A$1:$E$28,5,0))</f>
        <v>-1023506</v>
      </c>
      <c r="G13" s="190" t="e">
        <f>IF(E13&gt;=0,"本期賸餘","本期短絀")</f>
        <v>#N/A</v>
      </c>
    </row>
    <row r="14" spans="1:8">
      <c r="A14" s="622"/>
      <c r="B14" s="622"/>
      <c r="C14" s="176" t="s">
        <v>321</v>
      </c>
      <c r="D14" s="192">
        <f>IF(封面!J10=12,0,VLOOKUP("本期賸餘(短絀－)",餘絀表!$C$16:$T$48,18,0))</f>
        <v>-682569</v>
      </c>
      <c r="E14" s="192"/>
      <c r="F14" s="192">
        <f>IF(封面!K11=12,0,VLOOKUP("本期賸餘(短絀)",對照表!$A$1:$C$28,3,0))</f>
        <v>-682569</v>
      </c>
      <c r="G14" s="190"/>
    </row>
    <row r="15" spans="1:8">
      <c r="A15" s="622"/>
      <c r="B15" s="622"/>
      <c r="C15" s="176" t="s">
        <v>322</v>
      </c>
      <c r="D15" s="192">
        <f>IF(封面!J12=12,0,VLOOKUP($G$15,平衡!$K$13:$U$41,10,0))</f>
        <v>64796925</v>
      </c>
      <c r="E15" s="192" t="e">
        <f>IF(封面!J12=12,0,VLOOKUP("期末淨資產",收支!$A$14:$N$36,14,0))</f>
        <v>#N/A</v>
      </c>
      <c r="F15" s="192" t="e">
        <f>IF(封面!K12=12,0,VLOOKUP("期末基金餘額",對照表!$A$1:$E$28,5,0))</f>
        <v>#N/A</v>
      </c>
      <c r="G15" s="190" t="s">
        <v>322</v>
      </c>
    </row>
    <row r="16" spans="1:8" ht="15" thickBot="1">
      <c r="A16" s="623"/>
      <c r="B16" s="623"/>
      <c r="C16" s="176" t="s">
        <v>153</v>
      </c>
      <c r="D16" s="192">
        <f>VLOOKUP("國民教育計畫",主要業務!$B$15:$J$24,7,0)</f>
        <v>6951569</v>
      </c>
      <c r="E16" s="192">
        <f>VLOOKUP("國民教育計畫",餘絀表!$C$16:$T$45,9,0)</f>
        <v>0</v>
      </c>
    </row>
    <row r="17" spans="1:8">
      <c r="A17" s="619" t="s">
        <v>142</v>
      </c>
      <c r="B17" s="619" t="s">
        <v>131</v>
      </c>
      <c r="C17" s="176" t="s">
        <v>154</v>
      </c>
      <c r="D17" s="192">
        <f>主要業務!H17</f>
        <v>6951569</v>
      </c>
      <c r="E17" s="192">
        <f>VLOOKUP("國民教育計畫",餘絀表!$C$16:$T$45,18,0)</f>
        <v>6951569</v>
      </c>
    </row>
    <row r="18" spans="1:8">
      <c r="A18" s="620"/>
      <c r="B18" s="622"/>
      <c r="C18" s="176" t="s">
        <v>155</v>
      </c>
      <c r="D18" s="192">
        <f>主要業務!H20</f>
        <v>0</v>
      </c>
      <c r="E18" s="192" t="e">
        <f>VLOOKUP("建築及設備計畫",餘絀表!$C$16:$T$45,9,0)</f>
        <v>#N/A</v>
      </c>
    </row>
    <row r="19" spans="1:8">
      <c r="A19" s="620"/>
      <c r="B19" s="622"/>
      <c r="C19" s="176" t="s">
        <v>156</v>
      </c>
      <c r="D19" s="192">
        <f>主要業務!H22</f>
        <v>0</v>
      </c>
      <c r="E19" s="192" t="e">
        <f>VLOOKUP("建築及設備計畫",餘絀表!$C$16:$T$45,18,0)</f>
        <v>#N/A</v>
      </c>
    </row>
    <row r="20" spans="1:8">
      <c r="A20" s="620"/>
      <c r="B20" s="622"/>
      <c r="C20" s="176" t="s">
        <v>324</v>
      </c>
      <c r="D20" s="192">
        <f>VLOOKUP("用人費用",各項費用!$F$12:$Q$100,12,0)</f>
        <v>6876844</v>
      </c>
      <c r="E20" s="192">
        <f>VLOOKUP("人事支出",收支!$B$14:$N$62,13,0)</f>
        <v>6876844</v>
      </c>
      <c r="F20" s="192">
        <f>VLOOKUP("用人費用",對照表!$B$1:$E$28,4,0)</f>
        <v>6876844</v>
      </c>
    </row>
    <row r="21" spans="1:8">
      <c r="A21" s="620"/>
      <c r="B21" s="622"/>
      <c r="C21" s="176" t="s">
        <v>325</v>
      </c>
      <c r="D21" s="192">
        <f>IF(E21=0,0,資產!F10+H21)</f>
        <v>800824</v>
      </c>
      <c r="E21" s="192">
        <f>VLOOKUP("折舊、折耗及攤銷",收支!$B$14:$N$62,13,0)</f>
        <v>340937</v>
      </c>
      <c r="F21" s="192">
        <f>VLOOKUP("折舊、折耗及攤銷",對照表!$H$1:$J$28,3,0)</f>
        <v>340937</v>
      </c>
      <c r="G21" s="446" t="s">
        <v>336</v>
      </c>
      <c r="H21" s="447">
        <f>464532-4645</f>
        <v>459887</v>
      </c>
    </row>
    <row r="22" spans="1:8">
      <c r="A22" s="620"/>
      <c r="B22" s="622"/>
      <c r="C22" s="176" t="s">
        <v>296</v>
      </c>
      <c r="D22" s="191">
        <v>0</v>
      </c>
      <c r="E22" s="191"/>
      <c r="F22" s="161"/>
    </row>
    <row r="23" spans="1:8">
      <c r="A23" s="620"/>
      <c r="B23" s="622"/>
      <c r="C23" s="176" t="s">
        <v>297</v>
      </c>
      <c r="D23" s="191">
        <f>D28-D22-D24-D25-D26-D27</f>
        <v>-5</v>
      </c>
      <c r="E23" s="191"/>
      <c r="F23" s="161" t="s">
        <v>298</v>
      </c>
    </row>
    <row r="24" spans="1:8">
      <c r="A24" s="620"/>
      <c r="B24" s="622"/>
      <c r="C24" s="176" t="s">
        <v>299</v>
      </c>
      <c r="D24" s="191"/>
      <c r="E24" s="191"/>
      <c r="F24" s="161" t="s">
        <v>300</v>
      </c>
    </row>
    <row r="25" spans="1:8">
      <c r="A25" s="620"/>
      <c r="B25" s="622"/>
      <c r="C25" s="176" t="s">
        <v>301</v>
      </c>
      <c r="D25" s="191">
        <v>0</v>
      </c>
      <c r="E25" s="191"/>
      <c r="F25" s="161"/>
    </row>
    <row r="26" spans="1:8" ht="15" thickBot="1">
      <c r="A26" s="621"/>
      <c r="B26" s="623"/>
      <c r="C26" s="176" t="s">
        <v>302</v>
      </c>
      <c r="D26" s="191"/>
      <c r="E26" s="191"/>
      <c r="F26" s="161"/>
      <c r="H26" s="159"/>
    </row>
    <row r="27" spans="1:8" ht="33.75" thickBot="1">
      <c r="A27" s="73" t="s">
        <v>132</v>
      </c>
      <c r="B27" s="74" t="s">
        <v>143</v>
      </c>
      <c r="C27" s="176" t="s">
        <v>303</v>
      </c>
      <c r="D27" s="191">
        <v>5</v>
      </c>
      <c r="E27" s="191"/>
      <c r="F27" s="161"/>
    </row>
    <row r="28" spans="1:8" ht="33.75" thickBot="1">
      <c r="A28" s="73" t="s">
        <v>66</v>
      </c>
      <c r="B28" s="74" t="s">
        <v>133</v>
      </c>
      <c r="C28" s="176" t="s">
        <v>304</v>
      </c>
      <c r="D28" s="191"/>
      <c r="E28" s="191"/>
      <c r="F28" s="161" t="s">
        <v>305</v>
      </c>
    </row>
    <row r="29" spans="1:8" ht="17.25" thickBot="1">
      <c r="A29" s="73" t="s">
        <v>134</v>
      </c>
      <c r="B29" s="74" t="s">
        <v>135</v>
      </c>
      <c r="D29" s="179"/>
      <c r="E29" s="179"/>
    </row>
    <row r="30" spans="1:8">
      <c r="A30" s="619" t="s">
        <v>136</v>
      </c>
      <c r="B30" s="619" t="s">
        <v>137</v>
      </c>
      <c r="D30" s="192"/>
      <c r="E30" s="192"/>
      <c r="F30" s="179"/>
    </row>
    <row r="31" spans="1:8">
      <c r="A31" s="622"/>
      <c r="B31" s="622"/>
      <c r="D31" s="192"/>
      <c r="E31" s="192"/>
      <c r="F31" s="179"/>
    </row>
    <row r="32" spans="1:8" ht="15" thickBot="1">
      <c r="A32" s="621"/>
      <c r="B32" s="621"/>
      <c r="D32" s="192"/>
      <c r="E32" s="192"/>
      <c r="F32" s="179"/>
    </row>
    <row r="33" spans="1:2" ht="15" thickBot="1">
      <c r="A33" s="193"/>
      <c r="B33" s="193"/>
    </row>
    <row r="34" spans="1:2" ht="15" thickBot="1">
      <c r="A34" s="193"/>
      <c r="B34" s="193"/>
    </row>
    <row r="35" spans="1:2" ht="15" thickBot="1">
      <c r="A35" s="193"/>
      <c r="B35" s="193"/>
    </row>
    <row r="36" spans="1:2" ht="20.25" thickBot="1">
      <c r="A36" s="72"/>
      <c r="B36" s="72"/>
    </row>
    <row r="37" spans="1:2" ht="20.25" thickBot="1">
      <c r="A37" s="75" t="s">
        <v>124</v>
      </c>
      <c r="B37" s="76" t="s">
        <v>138</v>
      </c>
    </row>
    <row r="38" spans="1:2" ht="17.25" thickBot="1">
      <c r="A38" s="145" t="s">
        <v>139</v>
      </c>
      <c r="B38" s="74" t="s">
        <v>159</v>
      </c>
    </row>
    <row r="39" spans="1:2" ht="33.75" thickBot="1">
      <c r="A39" s="145" t="s">
        <v>126</v>
      </c>
      <c r="B39" s="74" t="s">
        <v>160</v>
      </c>
    </row>
    <row r="40" spans="1:2" ht="17.25" thickBot="1">
      <c r="A40" s="145" t="s">
        <v>140</v>
      </c>
      <c r="B40" s="74" t="s">
        <v>141</v>
      </c>
    </row>
  </sheetData>
  <mergeCells count="13">
    <mergeCell ref="A7:B7"/>
    <mergeCell ref="A1:B1"/>
    <mergeCell ref="A2:B2"/>
    <mergeCell ref="A3:B3"/>
    <mergeCell ref="A4:B4"/>
    <mergeCell ref="A5:B5"/>
    <mergeCell ref="A6:B6"/>
    <mergeCell ref="A17:A26"/>
    <mergeCell ref="B17:B26"/>
    <mergeCell ref="A30:A32"/>
    <mergeCell ref="B30:B32"/>
    <mergeCell ref="A11:A16"/>
    <mergeCell ref="B11:B16"/>
  </mergeCells>
  <phoneticPr fontId="10" type="noConversion"/>
  <conditionalFormatting sqref="D16:E16 E18:E19">
    <cfRule type="expression" dxfId="85" priority="71" stopIfTrue="1">
      <formula>$D$16&lt;&gt;$E$16</formula>
    </cfRule>
  </conditionalFormatting>
  <conditionalFormatting sqref="D32:E32">
    <cfRule type="expression" dxfId="84" priority="64" stopIfTrue="1">
      <formula>$D$32&lt;&gt;$E$32</formula>
    </cfRule>
  </conditionalFormatting>
  <conditionalFormatting sqref="D17:E17">
    <cfRule type="expression" dxfId="83" priority="62" stopIfTrue="1">
      <formula>$D17&lt;&gt;$E17</formula>
    </cfRule>
  </conditionalFormatting>
  <conditionalFormatting sqref="D18:E18 E19">
    <cfRule type="expression" dxfId="82" priority="61" stopIfTrue="1">
      <formula>$D$18&lt;&gt;$E$18</formula>
    </cfRule>
  </conditionalFormatting>
  <conditionalFormatting sqref="E28">
    <cfRule type="expression" dxfId="81" priority="55" stopIfTrue="1">
      <formula>$D$30&lt;&gt;$E$30</formula>
    </cfRule>
  </conditionalFormatting>
  <conditionalFormatting sqref="E29">
    <cfRule type="expression" dxfId="80" priority="54" stopIfTrue="1">
      <formula>$F$31&lt;&gt;0</formula>
    </cfRule>
  </conditionalFormatting>
  <conditionalFormatting sqref="E30">
    <cfRule type="expression" dxfId="79" priority="51" stopIfTrue="1">
      <formula>$D$30&lt;&gt;$E$30</formula>
    </cfRule>
  </conditionalFormatting>
  <conditionalFormatting sqref="E31">
    <cfRule type="expression" dxfId="78" priority="50" stopIfTrue="1">
      <formula>$F$31&lt;&gt;0</formula>
    </cfRule>
  </conditionalFormatting>
  <conditionalFormatting sqref="D27 D22:E23">
    <cfRule type="expression" dxfId="77" priority="48" stopIfTrue="1">
      <formula>$D23&lt;&gt;$E23</formula>
    </cfRule>
  </conditionalFormatting>
  <conditionalFormatting sqref="E28">
    <cfRule type="expression" dxfId="76" priority="47" stopIfTrue="1">
      <formula>$D$30&lt;&gt;$E$30</formula>
    </cfRule>
  </conditionalFormatting>
  <conditionalFormatting sqref="E28">
    <cfRule type="expression" dxfId="75" priority="46" stopIfTrue="1">
      <formula>$D28&lt;&gt;$E28</formula>
    </cfRule>
  </conditionalFormatting>
  <conditionalFormatting sqref="D28">
    <cfRule type="expression" dxfId="74" priority="45" stopIfTrue="1">
      <formula>$D28&lt;&gt;$E28</formula>
    </cfRule>
  </conditionalFormatting>
  <conditionalFormatting sqref="D24:D26">
    <cfRule type="expression" dxfId="73" priority="44" stopIfTrue="1">
      <formula>$D24&lt;&gt;$E24</formula>
    </cfRule>
  </conditionalFormatting>
  <conditionalFormatting sqref="D27">
    <cfRule type="expression" dxfId="72" priority="43" stopIfTrue="1">
      <formula>$D27&lt;&gt;$E27</formula>
    </cfRule>
  </conditionalFormatting>
  <conditionalFormatting sqref="D14 F14:F15">
    <cfRule type="expression" dxfId="71" priority="42">
      <formula>$D$14&lt;&gt;$F$14</formula>
    </cfRule>
  </conditionalFormatting>
  <conditionalFormatting sqref="F15">
    <cfRule type="expression" dxfId="70" priority="34">
      <formula>$E$15&lt;&gt;$F$15</formula>
    </cfRule>
    <cfRule type="expression" dxfId="69" priority="35">
      <formula>$D$15&lt;&gt;$F$15</formula>
    </cfRule>
    <cfRule type="expression" dxfId="68" priority="40">
      <formula>$D$14&lt;&gt;$F$14</formula>
    </cfRule>
  </conditionalFormatting>
  <conditionalFormatting sqref="D15">
    <cfRule type="expression" dxfId="67" priority="38">
      <formula>$D$15&lt;&gt;$F$15</formula>
    </cfRule>
    <cfRule type="expression" dxfId="66" priority="39">
      <formula>$D$15&lt;&gt;$E$15</formula>
    </cfRule>
  </conditionalFormatting>
  <conditionalFormatting sqref="E15">
    <cfRule type="expression" dxfId="65" priority="36">
      <formula>$E$15&lt;&gt;$F$15</formula>
    </cfRule>
    <cfRule type="expression" dxfId="64" priority="37">
      <formula>$D$15&lt;&gt;$E$15</formula>
    </cfRule>
  </conditionalFormatting>
  <conditionalFormatting sqref="D7:E7">
    <cfRule type="expression" dxfId="63" priority="33">
      <formula>$D$7&lt;&gt;$E$7</formula>
    </cfRule>
  </conditionalFormatting>
  <conditionalFormatting sqref="D8:E8">
    <cfRule type="expression" dxfId="62" priority="32">
      <formula>$D$8&lt;&gt;$E$8</formula>
    </cfRule>
  </conditionalFormatting>
  <conditionalFormatting sqref="E16:E17">
    <cfRule type="expression" dxfId="61" priority="74" stopIfTrue="1">
      <formula>#REF!&lt;&gt;#REF!</formula>
    </cfRule>
  </conditionalFormatting>
  <conditionalFormatting sqref="E18:E19">
    <cfRule type="expression" dxfId="60" priority="95" stopIfTrue="1">
      <formula>#REF!&lt;&gt;#REF!</formula>
    </cfRule>
  </conditionalFormatting>
  <conditionalFormatting sqref="E6:E7">
    <cfRule type="expression" dxfId="59" priority="97" stopIfTrue="1">
      <formula>$D13&lt;&gt;$F13</formula>
    </cfRule>
  </conditionalFormatting>
  <conditionalFormatting sqref="D20:F20">
    <cfRule type="expression" dxfId="58" priority="16">
      <formula>$D$20&lt;&gt;$E$20</formula>
    </cfRule>
  </conditionalFormatting>
  <conditionalFormatting sqref="D20:F20">
    <cfRule type="expression" dxfId="57" priority="15">
      <formula>$E$20&lt;&gt;$F$20</formula>
    </cfRule>
  </conditionalFormatting>
  <conditionalFormatting sqref="D21:F21">
    <cfRule type="expression" dxfId="56" priority="10">
      <formula>$D$21&lt;&gt;$E$21</formula>
    </cfRule>
  </conditionalFormatting>
  <conditionalFormatting sqref="D21:F21">
    <cfRule type="expression" dxfId="55" priority="9">
      <formula>$D$21&lt;&gt;$F$21</formula>
    </cfRule>
  </conditionalFormatting>
  <conditionalFormatting sqref="D9:F9">
    <cfRule type="expression" dxfId="54" priority="6">
      <formula>$D$9&lt;&gt;$F$9</formula>
    </cfRule>
    <cfRule type="expression" dxfId="53" priority="7">
      <formula>$D$9&lt;&gt;$E$9</formula>
    </cfRule>
  </conditionalFormatting>
  <conditionalFormatting sqref="D10:G10">
    <cfRule type="expression" dxfId="52" priority="3">
      <formula>$D$10&lt;&gt;$E$10</formula>
    </cfRule>
  </conditionalFormatting>
  <conditionalFormatting sqref="F12:G12">
    <cfRule type="expression" dxfId="51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48" customWidth="1"/>
    <col min="2" max="2" width="11.7109375" style="48" customWidth="1"/>
    <col min="3" max="3" width="9.140625" style="31"/>
    <col min="4" max="4" width="8.42578125" style="31" customWidth="1"/>
    <col min="5" max="5" width="5.85546875" style="31" customWidth="1"/>
    <col min="6" max="6" width="3.28515625" style="31" customWidth="1"/>
    <col min="7" max="7" width="7.28515625" style="31" customWidth="1"/>
    <col min="8" max="8" width="4.42578125" style="31" customWidth="1"/>
    <col min="9" max="9" width="9.140625" style="31"/>
    <col min="10" max="10" width="8.7109375" style="31" customWidth="1"/>
    <col min="11" max="12" width="5.7109375" style="31" customWidth="1"/>
    <col min="13" max="14" width="8" style="31" customWidth="1"/>
    <col min="15" max="15" width="6.140625" style="31" customWidth="1"/>
    <col min="16" max="16" width="8" style="31" customWidth="1"/>
    <col min="17" max="17" width="6.85546875" style="31" customWidth="1"/>
    <col min="18" max="18" width="3.85546875" style="31" customWidth="1"/>
    <col min="19" max="19" width="21.85546875" style="31" customWidth="1"/>
    <col min="20" max="16384" width="9.140625" style="31"/>
  </cols>
  <sheetData>
    <row r="1" spans="1:85" ht="19.5">
      <c r="A1" s="900" t="s">
        <v>83</v>
      </c>
      <c r="B1" s="901"/>
      <c r="C1" s="901"/>
      <c r="D1" s="901"/>
      <c r="E1" s="901"/>
      <c r="F1" s="901"/>
      <c r="G1" s="901"/>
      <c r="H1" s="901"/>
      <c r="I1" s="901"/>
      <c r="J1" s="901"/>
      <c r="K1" s="901"/>
      <c r="L1" s="901"/>
      <c r="M1" s="901"/>
      <c r="N1" s="901"/>
      <c r="O1" s="901"/>
      <c r="P1" s="901"/>
      <c r="Q1" s="901"/>
      <c r="R1" s="902"/>
    </row>
    <row r="2" spans="1:85">
      <c r="A2" s="903" t="str">
        <f>"茲列出 貴機關"&amp;封面!H10&amp;封面!J10&amp;"01至"&amp;封面!H10&amp;封面!J10&amp;封面!O10&amp;"歲出分配餘額暨支付明細，送請詳加核對"</f>
        <v>茲列出 貴機關113101至113131歲出分配餘額暨支付明細，送請詳加核對</v>
      </c>
      <c r="B2" s="904"/>
      <c r="C2" s="904"/>
      <c r="D2" s="904"/>
      <c r="E2" s="904"/>
      <c r="F2" s="904"/>
      <c r="G2" s="904"/>
      <c r="H2" s="904"/>
      <c r="I2" s="904"/>
      <c r="J2" s="904"/>
      <c r="K2" s="904"/>
      <c r="L2" s="904"/>
      <c r="M2" s="904"/>
      <c r="N2" s="904"/>
      <c r="O2" s="904"/>
      <c r="P2" s="904"/>
      <c r="Q2" s="904"/>
      <c r="R2" s="905"/>
    </row>
    <row r="3" spans="1:85">
      <c r="A3" s="906" t="s">
        <v>84</v>
      </c>
      <c r="B3" s="907"/>
      <c r="C3" s="907"/>
      <c r="D3" s="907"/>
      <c r="E3" s="907"/>
      <c r="F3" s="907"/>
      <c r="G3" s="907"/>
      <c r="H3" s="907"/>
      <c r="I3" s="907"/>
      <c r="J3" s="907"/>
      <c r="K3" s="907"/>
      <c r="L3" s="907"/>
      <c r="M3" s="907"/>
      <c r="N3" s="907"/>
      <c r="O3" s="907"/>
      <c r="P3" s="907"/>
      <c r="Q3" s="907"/>
      <c r="R3" s="908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875" t="s">
        <v>85</v>
      </c>
      <c r="D5" s="875"/>
      <c r="E5" s="875"/>
      <c r="F5" s="875"/>
      <c r="G5" s="875"/>
      <c r="H5" s="875" t="s">
        <v>86</v>
      </c>
      <c r="I5" s="875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87</v>
      </c>
      <c r="C6" s="899"/>
      <c r="D6" s="878"/>
      <c r="E6" s="878"/>
      <c r="F6" s="897" t="s">
        <v>88</v>
      </c>
      <c r="G6" s="873"/>
      <c r="H6" s="873"/>
      <c r="I6" s="873"/>
      <c r="J6" s="873"/>
      <c r="K6" s="873"/>
      <c r="L6" s="33"/>
      <c r="M6" s="33"/>
      <c r="N6" s="33"/>
      <c r="O6" s="33"/>
      <c r="P6" s="33"/>
      <c r="Q6" s="33"/>
      <c r="R6" s="40"/>
    </row>
    <row r="7" spans="1:85">
      <c r="A7" s="38"/>
      <c r="B7" s="897" t="s">
        <v>89</v>
      </c>
      <c r="C7" s="897"/>
      <c r="D7" s="897"/>
      <c r="E7" s="897"/>
      <c r="F7" s="897"/>
      <c r="G7" s="897"/>
      <c r="H7" s="897"/>
      <c r="I7" s="897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897" t="s">
        <v>90</v>
      </c>
      <c r="C8" s="897"/>
      <c r="D8" s="897"/>
      <c r="E8" s="897"/>
      <c r="F8" s="897"/>
      <c r="G8" s="897"/>
      <c r="H8" s="897"/>
      <c r="I8" s="897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91</v>
      </c>
      <c r="B9" s="879" t="s">
        <v>92</v>
      </c>
      <c r="C9" s="879"/>
      <c r="D9" s="879"/>
      <c r="E9" s="879"/>
      <c r="F9" s="879"/>
      <c r="G9" s="879"/>
      <c r="H9" s="879"/>
      <c r="I9" s="879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898" t="s">
        <v>93</v>
      </c>
      <c r="B10" s="875"/>
      <c r="C10" s="875"/>
      <c r="D10" s="876"/>
      <c r="E10" s="874" t="s">
        <v>94</v>
      </c>
      <c r="F10" s="876"/>
      <c r="G10" s="874" t="s">
        <v>95</v>
      </c>
      <c r="H10" s="876"/>
      <c r="I10" s="874" t="s">
        <v>96</v>
      </c>
      <c r="J10" s="876"/>
      <c r="K10" s="874" t="s">
        <v>71</v>
      </c>
      <c r="L10" s="876"/>
      <c r="M10" s="874" t="s">
        <v>97</v>
      </c>
      <c r="N10" s="875"/>
      <c r="O10" s="875"/>
      <c r="P10" s="875"/>
      <c r="Q10" s="875"/>
      <c r="R10" s="876"/>
    </row>
    <row r="11" spans="1:85" ht="52.5" customHeight="1">
      <c r="A11" s="868" t="s">
        <v>98</v>
      </c>
      <c r="B11" s="869"/>
      <c r="C11" s="869"/>
      <c r="D11" s="870"/>
      <c r="E11" s="890" t="s">
        <v>99</v>
      </c>
      <c r="F11" s="891"/>
      <c r="G11" s="864">
        <v>1053704</v>
      </c>
      <c r="H11" s="865"/>
      <c r="I11" s="864">
        <v>365251010501182</v>
      </c>
      <c r="J11" s="865"/>
      <c r="K11" s="866">
        <v>26000</v>
      </c>
      <c r="L11" s="867"/>
      <c r="M11" s="868" t="s">
        <v>100</v>
      </c>
      <c r="N11" s="869"/>
      <c r="O11" s="869"/>
      <c r="P11" s="869"/>
      <c r="Q11" s="869"/>
      <c r="R11" s="870"/>
      <c r="S11" s="45" t="s">
        <v>101</v>
      </c>
    </row>
    <row r="12" spans="1:85" ht="54" customHeight="1">
      <c r="A12" s="868" t="s">
        <v>102</v>
      </c>
      <c r="B12" s="869"/>
      <c r="C12" s="869"/>
      <c r="D12" s="870"/>
      <c r="E12" s="890" t="s">
        <v>103</v>
      </c>
      <c r="F12" s="891"/>
      <c r="G12" s="864">
        <v>1050843</v>
      </c>
      <c r="H12" s="865"/>
      <c r="I12" s="864">
        <v>365251010500989</v>
      </c>
      <c r="J12" s="865"/>
      <c r="K12" s="866">
        <v>129310</v>
      </c>
      <c r="L12" s="867"/>
      <c r="M12" s="868" t="s">
        <v>104</v>
      </c>
      <c r="N12" s="869"/>
      <c r="O12" s="869"/>
      <c r="P12" s="869"/>
      <c r="Q12" s="869"/>
      <c r="R12" s="870"/>
    </row>
    <row r="13" spans="1:85" ht="52.5" customHeight="1">
      <c r="A13" s="868" t="s">
        <v>105</v>
      </c>
      <c r="B13" s="869"/>
      <c r="C13" s="869"/>
      <c r="D13" s="870"/>
      <c r="E13" s="890" t="s">
        <v>99</v>
      </c>
      <c r="F13" s="891"/>
      <c r="G13" s="864">
        <v>1053632</v>
      </c>
      <c r="H13" s="865"/>
      <c r="I13" s="864">
        <v>365251010501170</v>
      </c>
      <c r="J13" s="865"/>
      <c r="K13" s="866">
        <v>12925</v>
      </c>
      <c r="L13" s="867"/>
      <c r="M13" s="868" t="s">
        <v>106</v>
      </c>
      <c r="N13" s="869"/>
      <c r="O13" s="869"/>
      <c r="P13" s="869"/>
      <c r="Q13" s="869"/>
      <c r="R13" s="870"/>
    </row>
    <row r="14" spans="1:85">
      <c r="A14" s="892"/>
      <c r="B14" s="893"/>
      <c r="C14" s="893"/>
      <c r="D14" s="894"/>
      <c r="E14" s="895"/>
      <c r="F14" s="896"/>
      <c r="G14" s="871"/>
      <c r="H14" s="872"/>
      <c r="I14" s="871"/>
      <c r="J14" s="872"/>
      <c r="K14" s="883"/>
      <c r="L14" s="884"/>
      <c r="M14" s="885"/>
      <c r="N14" s="886"/>
      <c r="O14" s="886"/>
      <c r="P14" s="886"/>
      <c r="Q14" s="886"/>
      <c r="R14" s="887"/>
    </row>
    <row r="15" spans="1:85">
      <c r="A15" s="874" t="s">
        <v>107</v>
      </c>
      <c r="B15" s="875"/>
      <c r="C15" s="875"/>
      <c r="D15" s="875"/>
      <c r="E15" s="875"/>
      <c r="F15" s="875"/>
      <c r="G15" s="875"/>
      <c r="H15" s="875"/>
      <c r="I15" s="875"/>
      <c r="J15" s="875"/>
      <c r="K15" s="875"/>
      <c r="L15" s="875"/>
      <c r="M15" s="875"/>
      <c r="N15" s="875"/>
      <c r="O15" s="875"/>
      <c r="P15" s="875"/>
      <c r="Q15" s="875"/>
      <c r="R15" s="876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877" t="s">
        <v>108</v>
      </c>
      <c r="B16" s="878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109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879" t="s">
        <v>110</v>
      </c>
      <c r="D18" s="879"/>
      <c r="E18" s="43"/>
      <c r="F18" s="43"/>
      <c r="G18" s="42"/>
      <c r="H18" s="42"/>
      <c r="I18" s="879" t="s">
        <v>111</v>
      </c>
      <c r="J18" s="879"/>
      <c r="K18" s="879"/>
      <c r="L18" s="43"/>
      <c r="M18" s="43"/>
      <c r="N18" s="43"/>
      <c r="O18" s="43"/>
      <c r="P18" s="880">
        <f ca="1">NOW()</f>
        <v>45327.338543055557</v>
      </c>
      <c r="Q18" s="881"/>
      <c r="R18" s="88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878" t="s">
        <v>112</v>
      </c>
      <c r="B19" s="878"/>
      <c r="E19" s="888" t="s">
        <v>113</v>
      </c>
      <c r="F19" s="889"/>
      <c r="G19" s="889"/>
      <c r="K19" s="31" t="s">
        <v>114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873" t="s">
        <v>115</v>
      </c>
      <c r="B20" s="873"/>
      <c r="F20" s="873" t="s">
        <v>115</v>
      </c>
      <c r="G20" s="873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CA552-EF23-4FDB-8DA3-802EA074D78B}">
  <sheetPr>
    <outlinePr summaryBelow="0"/>
    <pageSetUpPr autoPageBreaks="0"/>
  </sheetPr>
  <dimension ref="A1:Z159"/>
  <sheetViews>
    <sheetView showGridLines="0" topLeftCell="A61" zoomScaleNormal="100" workbookViewId="0">
      <selection activeCell="Y95" sqref="Y95"/>
    </sheetView>
  </sheetViews>
  <sheetFormatPr defaultRowHeight="12.75" customHeight="1"/>
  <cols>
    <col min="1" max="1" width="3.140625" customWidth="1"/>
    <col min="2" max="2" width="21.140625" customWidth="1"/>
    <col min="3" max="3" width="7.42578125" customWidth="1"/>
    <col min="4" max="4" width="1.42578125" customWidth="1"/>
    <col min="5" max="5" width="11.85546875" customWidth="1"/>
    <col min="6" max="6" width="2.28515625" customWidth="1"/>
    <col min="7" max="7" width="11.28515625" customWidth="1"/>
    <col min="8" max="8" width="2" customWidth="1"/>
    <col min="9" max="9" width="12.85546875" customWidth="1"/>
    <col min="10" max="10" width="1.42578125" customWidth="1"/>
    <col min="11" max="11" width="11.5703125" hidden="1" customWidth="1"/>
    <col min="12" max="12" width="2.85546875" hidden="1" customWidth="1"/>
    <col min="13" max="13" width="1" hidden="1" customWidth="1"/>
    <col min="14" max="14" width="8" hidden="1" customWidth="1"/>
    <col min="15" max="15" width="2.28515625" hidden="1" customWidth="1"/>
    <col min="16" max="16" width="2.140625" hidden="1" customWidth="1"/>
    <col min="17" max="17" width="9.28515625" customWidth="1"/>
    <col min="18" max="18" width="4" customWidth="1"/>
    <col min="19" max="19" width="2.85546875" customWidth="1"/>
    <col min="20" max="20" width="12.5703125" hidden="1" customWidth="1"/>
    <col min="21" max="21" width="1" hidden="1" customWidth="1"/>
    <col min="22" max="22" width="1.140625" hidden="1" customWidth="1"/>
    <col min="23" max="23" width="2.85546875" hidden="1" customWidth="1"/>
    <col min="24" max="24" width="9.85546875" hidden="1" customWidth="1"/>
    <col min="25" max="25" width="9.7109375" customWidth="1"/>
    <col min="26" max="26" width="9.85546875" customWidth="1"/>
    <col min="27" max="256" width="6.85546875" customWidth="1"/>
  </cols>
  <sheetData>
    <row r="1" spans="1:25" ht="6" customHeight="1"/>
    <row r="2" spans="1:25" ht="18.75" customHeight="1">
      <c r="R2" s="638" t="s">
        <v>690</v>
      </c>
      <c r="S2" s="638"/>
      <c r="T2" s="638"/>
      <c r="U2" s="638"/>
      <c r="V2" s="638"/>
      <c r="W2" s="638"/>
    </row>
    <row r="3" spans="1:25" ht="24" customHeight="1">
      <c r="A3" s="639" t="s">
        <v>689</v>
      </c>
      <c r="B3" s="639"/>
      <c r="C3" s="639"/>
      <c r="D3" s="639"/>
      <c r="E3" s="639"/>
      <c r="F3" s="639"/>
      <c r="G3" s="639"/>
      <c r="H3" s="639"/>
      <c r="I3" s="639"/>
      <c r="J3" s="639"/>
      <c r="K3" s="639"/>
      <c r="L3" s="639"/>
      <c r="M3" s="639"/>
      <c r="N3" s="639"/>
      <c r="O3" s="639"/>
      <c r="P3" s="639"/>
      <c r="Q3" s="639"/>
      <c r="R3" s="639"/>
      <c r="S3" s="639"/>
      <c r="T3" s="639"/>
      <c r="U3" s="639"/>
      <c r="V3" s="639"/>
      <c r="W3" s="639"/>
    </row>
    <row r="4" spans="1:25" ht="24" customHeight="1">
      <c r="A4" s="639" t="s">
        <v>688</v>
      </c>
      <c r="B4" s="639"/>
      <c r="C4" s="639"/>
      <c r="D4" s="639"/>
      <c r="E4" s="639"/>
      <c r="F4" s="639"/>
      <c r="G4" s="639"/>
      <c r="H4" s="639"/>
      <c r="I4" s="639"/>
      <c r="J4" s="639"/>
      <c r="K4" s="639"/>
      <c r="L4" s="639"/>
      <c r="M4" s="639"/>
      <c r="N4" s="639"/>
      <c r="O4" s="639"/>
      <c r="P4" s="639"/>
      <c r="Q4" s="639"/>
      <c r="R4" s="639"/>
      <c r="S4" s="639"/>
      <c r="T4" s="639"/>
      <c r="U4" s="639"/>
      <c r="V4" s="639"/>
      <c r="W4" s="639"/>
    </row>
    <row r="5" spans="1:25" ht="24" customHeight="1">
      <c r="A5" s="639" t="s">
        <v>687</v>
      </c>
      <c r="B5" s="639"/>
      <c r="C5" s="639"/>
      <c r="D5" s="639"/>
      <c r="E5" s="639"/>
      <c r="F5" s="639"/>
      <c r="G5" s="639"/>
      <c r="H5" s="639"/>
      <c r="I5" s="639"/>
      <c r="J5" s="639"/>
      <c r="K5" s="639"/>
      <c r="L5" s="639"/>
      <c r="M5" s="639"/>
      <c r="N5" s="639"/>
      <c r="O5" s="639"/>
      <c r="P5" s="639"/>
      <c r="Q5" s="639"/>
      <c r="R5" s="639"/>
      <c r="S5" s="639"/>
      <c r="T5" s="639"/>
      <c r="U5" s="639"/>
      <c r="V5" s="639"/>
      <c r="W5" s="639"/>
    </row>
    <row r="6" spans="1:25" ht="20.25" customHeight="1"/>
    <row r="7" spans="1:25" ht="12" customHeight="1">
      <c r="A7" s="640" t="s">
        <v>686</v>
      </c>
      <c r="B7" s="640"/>
      <c r="C7" s="640"/>
      <c r="E7" s="640" t="s">
        <v>685</v>
      </c>
      <c r="F7" s="640" t="s">
        <v>684</v>
      </c>
      <c r="G7" s="640"/>
      <c r="H7" s="640" t="s">
        <v>683</v>
      </c>
      <c r="I7" s="640"/>
      <c r="K7" s="640" t="s">
        <v>682</v>
      </c>
      <c r="L7" s="640"/>
      <c r="N7" s="640" t="s">
        <v>681</v>
      </c>
      <c r="Q7" s="640" t="s">
        <v>680</v>
      </c>
      <c r="R7" s="640"/>
      <c r="T7" s="640" t="s">
        <v>679</v>
      </c>
      <c r="W7" s="640" t="s">
        <v>678</v>
      </c>
      <c r="X7" s="640"/>
    </row>
    <row r="8" spans="1:25" ht="12" customHeight="1">
      <c r="A8" s="640"/>
      <c r="B8" s="640"/>
      <c r="C8" s="640"/>
      <c r="E8" s="640"/>
      <c r="F8" s="640"/>
      <c r="G8" s="640"/>
      <c r="H8" s="640"/>
      <c r="I8" s="640"/>
      <c r="K8" s="640"/>
      <c r="L8" s="640"/>
      <c r="N8" s="640"/>
      <c r="Q8" s="640"/>
      <c r="R8" s="640"/>
      <c r="T8" s="640"/>
      <c r="W8" s="640"/>
      <c r="X8" s="640"/>
    </row>
    <row r="9" spans="1:25" ht="16.5" customHeight="1">
      <c r="A9" s="640"/>
      <c r="B9" s="640"/>
      <c r="C9" s="640"/>
      <c r="E9" s="640"/>
      <c r="F9" s="640"/>
      <c r="G9" s="640"/>
      <c r="H9" s="640"/>
      <c r="I9" s="640"/>
      <c r="K9" s="640"/>
      <c r="L9" s="640"/>
      <c r="N9" s="640"/>
      <c r="Q9" s="640"/>
      <c r="R9" s="640"/>
      <c r="T9" s="640"/>
      <c r="W9" s="640"/>
      <c r="X9" s="640"/>
    </row>
    <row r="10" spans="1:25" ht="6" customHeight="1"/>
    <row r="11" spans="1:25" s="600" customFormat="1" ht="14.25" customHeight="1">
      <c r="B11" s="641" t="s">
        <v>677</v>
      </c>
      <c r="C11" s="641"/>
      <c r="E11" s="601">
        <v>40000</v>
      </c>
      <c r="G11" s="601">
        <v>40000</v>
      </c>
      <c r="I11" s="601">
        <v>40000</v>
      </c>
    </row>
    <row r="12" spans="1:25" s="600" customFormat="1" ht="14.25" customHeight="1">
      <c r="B12" s="641"/>
      <c r="C12" s="641"/>
    </row>
    <row r="13" spans="1:25" s="600" customFormat="1" ht="14.25" customHeight="1">
      <c r="B13" s="641" t="s">
        <v>676</v>
      </c>
      <c r="C13" s="641"/>
      <c r="E13" s="601">
        <v>3</v>
      </c>
      <c r="Q13" s="642">
        <v>3</v>
      </c>
      <c r="R13" s="642"/>
      <c r="T13" s="642">
        <v>3</v>
      </c>
      <c r="U13" s="642"/>
      <c r="W13" s="642">
        <v>3</v>
      </c>
      <c r="X13" s="642"/>
    </row>
    <row r="14" spans="1:25" s="600" customFormat="1" ht="14.25" customHeight="1">
      <c r="B14" s="641"/>
      <c r="C14" s="641"/>
      <c r="Y14" s="600">
        <f>SUM(Q11:R14)</f>
        <v>3</v>
      </c>
    </row>
    <row r="15" spans="1:25" ht="14.25" customHeight="1">
      <c r="B15" s="628" t="s">
        <v>675</v>
      </c>
      <c r="C15" s="628"/>
      <c r="E15" s="599">
        <v>589986</v>
      </c>
      <c r="G15" s="599">
        <v>589986</v>
      </c>
      <c r="I15" s="599">
        <v>589986</v>
      </c>
    </row>
    <row r="16" spans="1:25" ht="14.25" customHeight="1">
      <c r="B16" s="628"/>
      <c r="C16" s="628"/>
    </row>
    <row r="17" spans="2:24" ht="14.25" customHeight="1">
      <c r="B17" s="628" t="s">
        <v>674</v>
      </c>
      <c r="C17" s="628"/>
      <c r="E17" s="599">
        <v>153990</v>
      </c>
      <c r="G17" s="599">
        <v>153990</v>
      </c>
      <c r="I17" s="599">
        <v>153990</v>
      </c>
    </row>
    <row r="18" spans="2:24" ht="14.25" customHeight="1">
      <c r="B18" s="628"/>
      <c r="C18" s="628"/>
    </row>
    <row r="19" spans="2:24" ht="14.25" customHeight="1">
      <c r="B19" s="628" t="s">
        <v>673</v>
      </c>
      <c r="C19" s="628"/>
      <c r="E19" s="599">
        <v>46210</v>
      </c>
      <c r="G19" s="599">
        <v>33541</v>
      </c>
      <c r="I19" s="599">
        <v>33541</v>
      </c>
      <c r="Q19" s="629">
        <v>12669</v>
      </c>
      <c r="R19" s="629"/>
      <c r="T19" s="629">
        <v>12669</v>
      </c>
      <c r="U19" s="629"/>
      <c r="W19" s="629">
        <v>12669</v>
      </c>
      <c r="X19" s="629"/>
    </row>
    <row r="20" spans="2:24" ht="14.25" customHeight="1">
      <c r="B20" s="628"/>
      <c r="C20" s="628"/>
    </row>
    <row r="21" spans="2:24" ht="14.25" customHeight="1">
      <c r="B21" s="628" t="s">
        <v>672</v>
      </c>
      <c r="C21" s="628"/>
      <c r="E21" s="599">
        <v>16545</v>
      </c>
      <c r="G21" s="599">
        <v>16545</v>
      </c>
      <c r="I21" s="599">
        <v>16545</v>
      </c>
    </row>
    <row r="22" spans="2:24" ht="14.25" customHeight="1">
      <c r="B22" s="628"/>
      <c r="C22" s="628"/>
    </row>
    <row r="23" spans="2:24" ht="14.25" customHeight="1">
      <c r="B23" s="628" t="s">
        <v>671</v>
      </c>
      <c r="C23" s="628"/>
      <c r="E23" s="599">
        <v>158018</v>
      </c>
      <c r="G23" s="599">
        <v>158018</v>
      </c>
      <c r="I23" s="599">
        <v>158018</v>
      </c>
    </row>
    <row r="24" spans="2:24" ht="14.25" customHeight="1">
      <c r="B24" s="628"/>
      <c r="C24" s="628"/>
    </row>
    <row r="25" spans="2:24" ht="14.25" customHeight="1">
      <c r="B25" s="628" t="s">
        <v>670</v>
      </c>
      <c r="C25" s="628"/>
      <c r="E25" s="599">
        <v>5751</v>
      </c>
      <c r="Q25" s="629">
        <v>5751</v>
      </c>
      <c r="R25" s="629"/>
      <c r="T25" s="629">
        <v>5751</v>
      </c>
      <c r="U25" s="629"/>
      <c r="W25" s="629">
        <v>5751</v>
      </c>
      <c r="X25" s="629"/>
    </row>
    <row r="26" spans="2:24" ht="14.25" customHeight="1">
      <c r="B26" s="628"/>
      <c r="C26" s="628"/>
    </row>
    <row r="27" spans="2:24" ht="14.25" customHeight="1">
      <c r="B27" s="628" t="s">
        <v>669</v>
      </c>
      <c r="C27" s="628"/>
      <c r="E27" s="599">
        <v>5052</v>
      </c>
      <c r="G27" s="599">
        <v>5052</v>
      </c>
      <c r="I27" s="599">
        <v>5052</v>
      </c>
    </row>
    <row r="28" spans="2:24" ht="14.25" customHeight="1">
      <c r="B28" s="628"/>
      <c r="C28" s="628"/>
    </row>
    <row r="29" spans="2:24" ht="14.25" customHeight="1">
      <c r="B29" s="628" t="s">
        <v>668</v>
      </c>
      <c r="C29" s="628"/>
      <c r="E29" s="599">
        <v>207669</v>
      </c>
      <c r="G29" s="599">
        <v>131513</v>
      </c>
      <c r="I29" s="599">
        <v>131513</v>
      </c>
      <c r="Q29" s="629">
        <v>76156</v>
      </c>
      <c r="R29" s="629"/>
      <c r="T29" s="629">
        <v>76156</v>
      </c>
      <c r="U29" s="629"/>
      <c r="W29" s="629">
        <v>76156</v>
      </c>
      <c r="X29" s="629"/>
    </row>
    <row r="30" spans="2:24" ht="14.25" customHeight="1">
      <c r="B30" s="628"/>
      <c r="C30" s="628"/>
    </row>
    <row r="31" spans="2:24" ht="14.25" customHeight="1">
      <c r="B31" s="628" t="s">
        <v>667</v>
      </c>
      <c r="C31" s="628"/>
      <c r="E31" s="599">
        <v>36064</v>
      </c>
      <c r="G31" s="599">
        <v>22967</v>
      </c>
      <c r="I31" s="599">
        <v>22967</v>
      </c>
      <c r="Q31" s="629">
        <v>13097</v>
      </c>
      <c r="R31" s="629"/>
      <c r="T31" s="629">
        <v>13097</v>
      </c>
      <c r="U31" s="629"/>
      <c r="W31" s="629">
        <v>13097</v>
      </c>
      <c r="X31" s="629"/>
    </row>
    <row r="32" spans="2:24" ht="14.25" customHeight="1">
      <c r="B32" s="628"/>
      <c r="C32" s="628"/>
    </row>
    <row r="33" spans="2:24" ht="14.25" customHeight="1">
      <c r="B33" s="628" t="s">
        <v>666</v>
      </c>
      <c r="C33" s="628"/>
      <c r="E33" s="599">
        <v>147440</v>
      </c>
      <c r="Q33" s="629">
        <v>147440</v>
      </c>
      <c r="R33" s="629"/>
      <c r="T33" s="629">
        <v>147440</v>
      </c>
      <c r="U33" s="629"/>
      <c r="W33" s="629">
        <v>147440</v>
      </c>
      <c r="X33" s="629"/>
    </row>
    <row r="34" spans="2:24" ht="14.25" customHeight="1">
      <c r="B34" s="628"/>
      <c r="C34" s="628"/>
    </row>
    <row r="35" spans="2:24" ht="14.25" customHeight="1">
      <c r="B35" s="628" t="s">
        <v>665</v>
      </c>
      <c r="C35" s="628"/>
      <c r="E35" s="599">
        <v>25611</v>
      </c>
      <c r="G35" s="599">
        <v>23400</v>
      </c>
      <c r="I35" s="599">
        <v>23894</v>
      </c>
      <c r="Q35" s="629">
        <v>1717</v>
      </c>
      <c r="R35" s="629"/>
      <c r="T35" s="629">
        <v>1717</v>
      </c>
      <c r="U35" s="629"/>
      <c r="W35" s="629">
        <v>1717</v>
      </c>
      <c r="X35" s="629"/>
    </row>
    <row r="36" spans="2:24" ht="14.25" customHeight="1">
      <c r="B36" s="628"/>
      <c r="C36" s="628"/>
    </row>
    <row r="37" spans="2:24" ht="14.25" customHeight="1">
      <c r="B37" s="628" t="s">
        <v>664</v>
      </c>
      <c r="C37" s="628"/>
      <c r="E37" s="599">
        <v>10382</v>
      </c>
      <c r="G37" s="599">
        <v>9450</v>
      </c>
      <c r="I37" s="599">
        <v>9649</v>
      </c>
      <c r="Q37" s="629">
        <v>733</v>
      </c>
      <c r="R37" s="629"/>
      <c r="T37" s="629">
        <v>733</v>
      </c>
      <c r="U37" s="629"/>
      <c r="W37" s="629">
        <v>733</v>
      </c>
      <c r="X37" s="629"/>
    </row>
    <row r="38" spans="2:24" ht="14.25" customHeight="1">
      <c r="B38" s="628"/>
      <c r="C38" s="628"/>
    </row>
    <row r="39" spans="2:24" ht="14.25" customHeight="1">
      <c r="B39" s="628" t="s">
        <v>663</v>
      </c>
      <c r="C39" s="628"/>
      <c r="E39" s="599">
        <v>5650</v>
      </c>
      <c r="G39" s="599">
        <v>5325</v>
      </c>
      <c r="I39" s="599">
        <v>5437</v>
      </c>
      <c r="Q39" s="629">
        <v>213</v>
      </c>
      <c r="R39" s="629"/>
      <c r="T39" s="629">
        <v>213</v>
      </c>
      <c r="U39" s="629"/>
      <c r="W39" s="629">
        <v>213</v>
      </c>
      <c r="X39" s="629"/>
    </row>
    <row r="40" spans="2:24" ht="14.25" customHeight="1">
      <c r="B40" s="628"/>
      <c r="C40" s="628"/>
    </row>
    <row r="41" spans="2:24" ht="14.25" customHeight="1">
      <c r="B41" s="628" t="s">
        <v>662</v>
      </c>
      <c r="C41" s="628"/>
      <c r="E41" s="599">
        <v>25560</v>
      </c>
      <c r="G41" s="599">
        <v>23400</v>
      </c>
      <c r="I41" s="599">
        <v>23894</v>
      </c>
      <c r="Q41" s="629">
        <v>1666</v>
      </c>
      <c r="R41" s="629"/>
      <c r="T41" s="629">
        <v>1666</v>
      </c>
      <c r="U41" s="629"/>
      <c r="W41" s="629">
        <v>1666</v>
      </c>
      <c r="X41" s="629"/>
    </row>
    <row r="42" spans="2:24" ht="14.25" customHeight="1">
      <c r="B42" s="628"/>
      <c r="C42" s="628"/>
    </row>
    <row r="43" spans="2:24" ht="14.25" customHeight="1">
      <c r="B43" s="628" t="s">
        <v>661</v>
      </c>
      <c r="C43" s="628"/>
      <c r="E43" s="599">
        <v>5650</v>
      </c>
      <c r="G43" s="599">
        <v>5325</v>
      </c>
      <c r="I43" s="599">
        <v>5437</v>
      </c>
      <c r="Q43" s="629">
        <v>213</v>
      </c>
      <c r="R43" s="629"/>
      <c r="T43" s="629">
        <v>213</v>
      </c>
      <c r="U43" s="629"/>
      <c r="W43" s="629">
        <v>213</v>
      </c>
      <c r="X43" s="629"/>
    </row>
    <row r="44" spans="2:24" ht="14.25" customHeight="1">
      <c r="B44" s="628"/>
      <c r="C44" s="628"/>
    </row>
    <row r="45" spans="2:24" ht="14.25" customHeight="1">
      <c r="B45" s="628" t="s">
        <v>660</v>
      </c>
      <c r="C45" s="628"/>
      <c r="E45" s="599">
        <v>13790</v>
      </c>
      <c r="G45" s="599">
        <v>12780</v>
      </c>
      <c r="I45" s="599">
        <v>13050</v>
      </c>
      <c r="Q45" s="629">
        <v>740</v>
      </c>
      <c r="R45" s="629"/>
      <c r="T45" s="629">
        <v>740</v>
      </c>
      <c r="U45" s="629"/>
      <c r="W45" s="629">
        <v>740</v>
      </c>
      <c r="X45" s="629"/>
    </row>
    <row r="46" spans="2:24" ht="14.25" customHeight="1">
      <c r="B46" s="628"/>
      <c r="C46" s="628"/>
    </row>
    <row r="47" spans="2:24" ht="14.25" customHeight="1">
      <c r="B47" s="628" t="s">
        <v>659</v>
      </c>
      <c r="C47" s="628"/>
      <c r="E47" s="599">
        <v>320105</v>
      </c>
      <c r="G47" s="599">
        <v>214221</v>
      </c>
      <c r="I47" s="599">
        <v>218841</v>
      </c>
      <c r="Q47" s="629">
        <v>101264</v>
      </c>
      <c r="R47" s="629"/>
      <c r="T47" s="629">
        <v>101264</v>
      </c>
      <c r="U47" s="629"/>
      <c r="W47" s="629">
        <v>101264</v>
      </c>
      <c r="X47" s="629"/>
    </row>
    <row r="48" spans="2:24" ht="14.25" customHeight="1">
      <c r="B48" s="628"/>
      <c r="C48" s="628"/>
    </row>
    <row r="49" spans="2:24" ht="14.25" customHeight="1">
      <c r="B49" s="628" t="s">
        <v>658</v>
      </c>
      <c r="C49" s="628"/>
      <c r="E49" s="599">
        <v>86595</v>
      </c>
      <c r="G49" s="599">
        <v>39299</v>
      </c>
      <c r="I49" s="599">
        <v>39860</v>
      </c>
      <c r="Q49" s="629">
        <v>46735</v>
      </c>
      <c r="R49" s="629"/>
      <c r="T49" s="629">
        <v>46735</v>
      </c>
      <c r="U49" s="629"/>
      <c r="W49" s="629">
        <v>46735</v>
      </c>
      <c r="X49" s="629"/>
    </row>
    <row r="50" spans="2:24" ht="14.25" customHeight="1">
      <c r="B50" s="628"/>
      <c r="C50" s="628"/>
    </row>
    <row r="51" spans="2:24" ht="14.25" customHeight="1">
      <c r="B51" s="628" t="s">
        <v>657</v>
      </c>
      <c r="C51" s="628"/>
      <c r="E51" s="599">
        <v>26495</v>
      </c>
      <c r="G51" s="599">
        <v>3183</v>
      </c>
      <c r="I51" s="599">
        <v>3268</v>
      </c>
      <c r="Q51" s="629">
        <v>23227</v>
      </c>
      <c r="R51" s="629"/>
      <c r="T51" s="629">
        <v>23227</v>
      </c>
      <c r="U51" s="629"/>
      <c r="W51" s="629">
        <v>23227</v>
      </c>
      <c r="X51" s="629"/>
    </row>
    <row r="52" spans="2:24" ht="14.25" customHeight="1">
      <c r="B52" s="628"/>
      <c r="C52" s="628"/>
    </row>
    <row r="53" spans="2:24" ht="14.25" customHeight="1">
      <c r="B53" s="628" t="s">
        <v>656</v>
      </c>
      <c r="C53" s="628"/>
      <c r="E53" s="599">
        <v>101964</v>
      </c>
      <c r="G53" s="599">
        <v>89311</v>
      </c>
      <c r="I53" s="599">
        <v>92843</v>
      </c>
      <c r="Q53" s="629">
        <v>9121</v>
      </c>
      <c r="R53" s="629"/>
      <c r="T53" s="629">
        <v>9121</v>
      </c>
      <c r="U53" s="629"/>
      <c r="W53" s="629">
        <v>9121</v>
      </c>
      <c r="X53" s="629"/>
    </row>
    <row r="54" spans="2:24" ht="14.25" customHeight="1">
      <c r="B54" s="628"/>
      <c r="C54" s="628"/>
    </row>
    <row r="55" spans="2:24" ht="14.25" customHeight="1">
      <c r="B55" s="628" t="s">
        <v>655</v>
      </c>
      <c r="C55" s="628"/>
      <c r="E55" s="599">
        <v>28243</v>
      </c>
      <c r="G55" s="599">
        <v>26409</v>
      </c>
      <c r="I55" s="599">
        <v>28243</v>
      </c>
    </row>
    <row r="56" spans="2:24" ht="14.25" customHeight="1">
      <c r="B56" s="628"/>
      <c r="C56" s="628"/>
    </row>
    <row r="57" spans="2:24" ht="14.25" customHeight="1">
      <c r="B57" s="628" t="s">
        <v>654</v>
      </c>
      <c r="C57" s="628"/>
      <c r="E57" s="599">
        <v>273016</v>
      </c>
      <c r="G57" s="599">
        <v>273016</v>
      </c>
      <c r="I57" s="599">
        <v>273016</v>
      </c>
    </row>
    <row r="58" spans="2:24" ht="14.25" customHeight="1">
      <c r="B58" s="628"/>
      <c r="C58" s="628"/>
    </row>
    <row r="59" spans="2:24" ht="14.25" customHeight="1">
      <c r="B59" s="628" t="s">
        <v>653</v>
      </c>
      <c r="C59" s="628"/>
      <c r="E59" s="599">
        <v>2899</v>
      </c>
      <c r="Q59" s="629">
        <v>2899</v>
      </c>
      <c r="R59" s="629"/>
      <c r="T59" s="629">
        <v>2899</v>
      </c>
      <c r="U59" s="629"/>
      <c r="W59" s="629">
        <v>2899</v>
      </c>
      <c r="X59" s="629"/>
    </row>
    <row r="60" spans="2:24" ht="14.25" customHeight="1">
      <c r="B60" s="628"/>
      <c r="C60" s="628"/>
    </row>
    <row r="61" spans="2:24" ht="14.25" customHeight="1">
      <c r="B61" s="628" t="s">
        <v>652</v>
      </c>
      <c r="C61" s="628"/>
      <c r="E61" s="599">
        <v>478</v>
      </c>
      <c r="Q61" s="629">
        <v>478</v>
      </c>
      <c r="R61" s="629"/>
      <c r="T61" s="629">
        <v>478</v>
      </c>
      <c r="U61" s="629"/>
      <c r="W61" s="629">
        <v>478</v>
      </c>
      <c r="X61" s="629"/>
    </row>
    <row r="62" spans="2:24" ht="14.25" customHeight="1">
      <c r="B62" s="628"/>
      <c r="C62" s="628"/>
    </row>
    <row r="63" spans="2:24" ht="14.25" customHeight="1">
      <c r="B63" s="628" t="s">
        <v>651</v>
      </c>
      <c r="C63" s="628"/>
      <c r="E63" s="599">
        <v>405</v>
      </c>
      <c r="Q63" s="629">
        <v>405</v>
      </c>
      <c r="R63" s="629"/>
      <c r="T63" s="629">
        <v>405</v>
      </c>
      <c r="U63" s="629"/>
      <c r="W63" s="629">
        <v>405</v>
      </c>
      <c r="X63" s="629"/>
    </row>
    <row r="64" spans="2:24" ht="14.25" customHeight="1">
      <c r="B64" s="628"/>
      <c r="C64" s="628"/>
    </row>
    <row r="65" spans="2:25" s="604" customFormat="1" ht="14.25" customHeight="1">
      <c r="B65" s="634" t="s">
        <v>650</v>
      </c>
      <c r="C65" s="634"/>
      <c r="E65" s="605">
        <v>192</v>
      </c>
      <c r="Q65" s="635">
        <v>192</v>
      </c>
      <c r="R65" s="635"/>
      <c r="T65" s="635">
        <v>192</v>
      </c>
      <c r="U65" s="635"/>
      <c r="W65" s="635">
        <v>192</v>
      </c>
      <c r="X65" s="635"/>
    </row>
    <row r="66" spans="2:25" s="604" customFormat="1" ht="14.25" customHeight="1">
      <c r="B66" s="634"/>
      <c r="C66" s="634"/>
      <c r="Y66" s="610">
        <f>SUM(Q65:R66)</f>
        <v>192</v>
      </c>
    </row>
    <row r="67" spans="2:25" ht="14.25" customHeight="1">
      <c r="B67" s="628" t="s">
        <v>649</v>
      </c>
      <c r="C67" s="628"/>
      <c r="E67" s="599">
        <v>17269</v>
      </c>
      <c r="G67" s="599">
        <v>1000</v>
      </c>
      <c r="I67" s="599">
        <v>1000</v>
      </c>
      <c r="Q67" s="629">
        <v>16269</v>
      </c>
      <c r="R67" s="629"/>
      <c r="T67" s="629">
        <v>16269</v>
      </c>
      <c r="U67" s="629"/>
      <c r="W67" s="629">
        <v>16269</v>
      </c>
      <c r="X67" s="629"/>
    </row>
    <row r="68" spans="2:25" ht="14.25" customHeight="1">
      <c r="B68" s="628"/>
      <c r="C68" s="628"/>
    </row>
    <row r="69" spans="2:25" ht="14.25" customHeight="1">
      <c r="B69" s="628"/>
      <c r="C69" s="628"/>
    </row>
    <row r="70" spans="2:25" s="606" customFormat="1" ht="14.25" customHeight="1">
      <c r="B70" s="636" t="s">
        <v>648</v>
      </c>
      <c r="C70" s="636"/>
      <c r="E70" s="607">
        <v>1191983</v>
      </c>
      <c r="G70" s="607">
        <v>276833</v>
      </c>
      <c r="I70" s="607">
        <v>276833</v>
      </c>
      <c r="Q70" s="637">
        <v>915150</v>
      </c>
      <c r="R70" s="637"/>
      <c r="T70" s="637">
        <v>915150</v>
      </c>
      <c r="U70" s="637"/>
      <c r="W70" s="637">
        <v>915150</v>
      </c>
      <c r="X70" s="637"/>
    </row>
    <row r="71" spans="2:25" s="606" customFormat="1" ht="14.25" customHeight="1">
      <c r="B71" s="636"/>
      <c r="C71" s="636"/>
      <c r="Y71" s="611">
        <f>SUM(Q70:R71)</f>
        <v>915150</v>
      </c>
    </row>
    <row r="72" spans="2:25" s="608" customFormat="1" ht="14.25" customHeight="1">
      <c r="B72" s="631" t="s">
        <v>647</v>
      </c>
      <c r="C72" s="631"/>
      <c r="E72" s="609">
        <v>581824</v>
      </c>
      <c r="G72" s="609">
        <v>15807</v>
      </c>
      <c r="I72" s="609">
        <v>15807</v>
      </c>
      <c r="Q72" s="632">
        <v>566017</v>
      </c>
      <c r="R72" s="632"/>
      <c r="T72" s="632">
        <v>566017</v>
      </c>
      <c r="U72" s="632"/>
      <c r="W72" s="632">
        <v>566017</v>
      </c>
      <c r="X72" s="632"/>
    </row>
    <row r="73" spans="2:25" s="608" customFormat="1" ht="14.25" customHeight="1">
      <c r="B73" s="631"/>
      <c r="C73" s="631"/>
    </row>
    <row r="74" spans="2:25" s="608" customFormat="1" ht="14.25" customHeight="1">
      <c r="B74" s="631" t="s">
        <v>646</v>
      </c>
      <c r="C74" s="631"/>
      <c r="E74" s="609">
        <v>800000</v>
      </c>
      <c r="Q74" s="632">
        <v>800000</v>
      </c>
      <c r="R74" s="632"/>
      <c r="T74" s="632">
        <v>800000</v>
      </c>
      <c r="U74" s="632"/>
      <c r="W74" s="632">
        <v>800000</v>
      </c>
      <c r="X74" s="632"/>
    </row>
    <row r="75" spans="2:25" s="608" customFormat="1" ht="14.25" customHeight="1">
      <c r="B75" s="631"/>
      <c r="C75" s="631"/>
    </row>
    <row r="76" spans="2:25" s="608" customFormat="1" ht="14.25" customHeight="1">
      <c r="B76" s="631" t="s">
        <v>645</v>
      </c>
      <c r="C76" s="631"/>
      <c r="E76" s="609">
        <v>130829</v>
      </c>
      <c r="Q76" s="632">
        <v>130829</v>
      </c>
      <c r="R76" s="632"/>
      <c r="T76" s="632">
        <v>130829</v>
      </c>
      <c r="U76" s="632"/>
      <c r="W76" s="632">
        <v>130829</v>
      </c>
      <c r="X76" s="632"/>
    </row>
    <row r="77" spans="2:25" s="608" customFormat="1" ht="14.25" customHeight="1">
      <c r="B77" s="631"/>
      <c r="C77" s="631"/>
    </row>
    <row r="78" spans="2:25" s="608" customFormat="1" ht="14.25" customHeight="1">
      <c r="B78" s="631" t="s">
        <v>644</v>
      </c>
      <c r="C78" s="631"/>
      <c r="E78" s="609">
        <v>300000</v>
      </c>
      <c r="Q78" s="632">
        <v>300000</v>
      </c>
      <c r="R78" s="632"/>
      <c r="T78" s="632">
        <v>300000</v>
      </c>
      <c r="U78" s="632"/>
      <c r="W78" s="632">
        <v>300000</v>
      </c>
      <c r="X78" s="632"/>
    </row>
    <row r="79" spans="2:25" s="608" customFormat="1" ht="14.25" customHeight="1">
      <c r="B79" s="631"/>
      <c r="C79" s="631"/>
    </row>
    <row r="80" spans="2:25" s="608" customFormat="1" ht="14.25" customHeight="1">
      <c r="B80" s="631"/>
      <c r="C80" s="631"/>
    </row>
    <row r="81" spans="2:26" s="608" customFormat="1" ht="14.25" customHeight="1">
      <c r="B81" s="631" t="s">
        <v>643</v>
      </c>
      <c r="C81" s="631"/>
      <c r="E81" s="609">
        <v>79722</v>
      </c>
      <c r="G81" s="609">
        <v>10000</v>
      </c>
      <c r="I81" s="609">
        <v>10000</v>
      </c>
      <c r="Q81" s="632">
        <v>69722</v>
      </c>
      <c r="R81" s="632"/>
      <c r="T81" s="632">
        <v>69722</v>
      </c>
      <c r="U81" s="632"/>
      <c r="W81" s="632">
        <v>69722</v>
      </c>
      <c r="X81" s="632"/>
    </row>
    <row r="82" spans="2:26" s="608" customFormat="1" ht="14.25" customHeight="1">
      <c r="B82" s="631"/>
      <c r="C82" s="631"/>
    </row>
    <row r="83" spans="2:26" s="608" customFormat="1" ht="14.25" customHeight="1">
      <c r="B83" s="631" t="s">
        <v>642</v>
      </c>
      <c r="C83" s="631"/>
      <c r="E83" s="609">
        <v>800000</v>
      </c>
      <c r="Q83" s="632">
        <v>800000</v>
      </c>
      <c r="R83" s="632"/>
      <c r="T83" s="632">
        <v>800000</v>
      </c>
      <c r="U83" s="632"/>
      <c r="W83" s="632">
        <v>800000</v>
      </c>
      <c r="X83" s="632"/>
    </row>
    <row r="84" spans="2:26" s="608" customFormat="1" ht="14.25" customHeight="1">
      <c r="B84" s="631"/>
      <c r="C84" s="631"/>
    </row>
    <row r="85" spans="2:26" s="608" customFormat="1" ht="14.25" customHeight="1">
      <c r="B85" s="631"/>
      <c r="C85" s="631"/>
    </row>
    <row r="86" spans="2:26" s="608" customFormat="1" ht="14.25" customHeight="1">
      <c r="B86" s="631" t="s">
        <v>641</v>
      </c>
      <c r="C86" s="631"/>
      <c r="E86" s="609">
        <v>26000</v>
      </c>
      <c r="G86" s="609">
        <v>11500</v>
      </c>
      <c r="I86" s="609">
        <v>11500</v>
      </c>
      <c r="Q86" s="632">
        <v>14500</v>
      </c>
      <c r="R86" s="632"/>
      <c r="T86" s="632">
        <v>14500</v>
      </c>
      <c r="U86" s="632"/>
      <c r="W86" s="632">
        <v>14500</v>
      </c>
      <c r="X86" s="632"/>
    </row>
    <row r="87" spans="2:26" s="608" customFormat="1" ht="14.25" customHeight="1">
      <c r="B87" s="631"/>
      <c r="C87" s="631"/>
    </row>
    <row r="88" spans="2:26" s="608" customFormat="1" ht="14.25" customHeight="1">
      <c r="B88" s="631"/>
      <c r="C88" s="631"/>
    </row>
    <row r="89" spans="2:26" s="608" customFormat="1" ht="14.25" customHeight="1">
      <c r="B89" s="631" t="s">
        <v>640</v>
      </c>
      <c r="C89" s="631"/>
      <c r="E89" s="609">
        <v>102934</v>
      </c>
      <c r="Q89" s="632">
        <v>102934</v>
      </c>
      <c r="R89" s="632"/>
      <c r="T89" s="632">
        <v>102934</v>
      </c>
      <c r="U89" s="632"/>
      <c r="W89" s="632">
        <v>102934</v>
      </c>
      <c r="X89" s="632"/>
    </row>
    <row r="90" spans="2:26" s="608" customFormat="1" ht="14.25" customHeight="1">
      <c r="B90" s="631"/>
      <c r="C90" s="631"/>
    </row>
    <row r="91" spans="2:26" s="608" customFormat="1" ht="14.25" customHeight="1">
      <c r="B91" s="631" t="s">
        <v>639</v>
      </c>
      <c r="C91" s="631"/>
      <c r="E91" s="609">
        <v>18800</v>
      </c>
      <c r="G91" s="609">
        <v>8400</v>
      </c>
      <c r="I91" s="609">
        <v>8400</v>
      </c>
      <c r="Q91" s="632">
        <v>10400</v>
      </c>
      <c r="R91" s="632"/>
      <c r="T91" s="632">
        <v>10400</v>
      </c>
      <c r="U91" s="632"/>
      <c r="W91" s="632">
        <v>10400</v>
      </c>
      <c r="X91" s="632"/>
    </row>
    <row r="92" spans="2:26" s="608" customFormat="1" ht="14.25" customHeight="1">
      <c r="B92" s="631"/>
      <c r="C92" s="631"/>
      <c r="Y92" s="612">
        <f>SUM(Q72:R92)-Z92</f>
        <v>894402</v>
      </c>
      <c r="Z92" s="612">
        <f>Q74+Q78+Q83</f>
        <v>1900000</v>
      </c>
    </row>
    <row r="93" spans="2:26" s="602" customFormat="1" ht="14.25" customHeight="1">
      <c r="B93" s="633" t="s">
        <v>638</v>
      </c>
      <c r="C93" s="633"/>
      <c r="E93" s="603">
        <v>210668</v>
      </c>
      <c r="G93" s="603">
        <v>210668</v>
      </c>
      <c r="I93" s="603">
        <v>210668</v>
      </c>
    </row>
    <row r="94" spans="2:26" s="602" customFormat="1" ht="14.25" customHeight="1">
      <c r="B94" s="633"/>
      <c r="C94" s="633"/>
      <c r="Y94" s="602">
        <f>SUM(Q93:R94)</f>
        <v>0</v>
      </c>
    </row>
    <row r="95" spans="2:26" ht="14.25" customHeight="1">
      <c r="B95" s="628" t="s">
        <v>637</v>
      </c>
      <c r="C95" s="628"/>
      <c r="E95" s="599">
        <v>232367</v>
      </c>
      <c r="G95" s="599">
        <v>3600</v>
      </c>
      <c r="I95" s="599">
        <v>3600</v>
      </c>
      <c r="Q95" s="629">
        <v>228767</v>
      </c>
      <c r="R95" s="629"/>
      <c r="T95" s="629">
        <v>228767</v>
      </c>
      <c r="U95" s="629"/>
      <c r="W95" s="629">
        <v>228767</v>
      </c>
      <c r="X95" s="629"/>
    </row>
    <row r="96" spans="2:26" ht="14.25" customHeight="1">
      <c r="B96" s="628"/>
      <c r="C96" s="628"/>
    </row>
    <row r="97" spans="2:24" ht="14.25" customHeight="1">
      <c r="B97" s="628"/>
      <c r="C97" s="628"/>
    </row>
    <row r="98" spans="2:24" ht="14.25" customHeight="1">
      <c r="B98" s="628" t="s">
        <v>636</v>
      </c>
      <c r="C98" s="628"/>
      <c r="E98" s="599">
        <v>232117</v>
      </c>
      <c r="Q98" s="629">
        <v>232117</v>
      </c>
      <c r="R98" s="629"/>
      <c r="T98" s="629">
        <v>232117</v>
      </c>
      <c r="U98" s="629"/>
      <c r="W98" s="629">
        <v>232117</v>
      </c>
      <c r="X98" s="629"/>
    </row>
    <row r="99" spans="2:24" ht="14.25" customHeight="1">
      <c r="B99" s="628"/>
      <c r="C99" s="628"/>
    </row>
    <row r="100" spans="2:24" ht="14.25" customHeight="1">
      <c r="B100" s="628"/>
      <c r="C100" s="628"/>
    </row>
    <row r="101" spans="2:24" ht="14.25" customHeight="1">
      <c r="B101" s="628" t="s">
        <v>635</v>
      </c>
      <c r="C101" s="628"/>
      <c r="E101" s="599">
        <v>587</v>
      </c>
      <c r="Q101" s="629">
        <v>587</v>
      </c>
      <c r="R101" s="629"/>
      <c r="T101" s="629">
        <v>587</v>
      </c>
      <c r="U101" s="629"/>
      <c r="W101" s="629">
        <v>587</v>
      </c>
      <c r="X101" s="629"/>
    </row>
    <row r="102" spans="2:24" ht="14.25" customHeight="1">
      <c r="B102" s="628"/>
      <c r="C102" s="628"/>
    </row>
    <row r="103" spans="2:24" ht="14.25" customHeight="1">
      <c r="B103" s="628"/>
      <c r="C103" s="628"/>
    </row>
    <row r="104" spans="2:24" ht="14.25" customHeight="1">
      <c r="B104" s="628" t="s">
        <v>634</v>
      </c>
      <c r="C104" s="628"/>
      <c r="E104" s="599">
        <v>20898</v>
      </c>
      <c r="Q104" s="629">
        <v>20898</v>
      </c>
      <c r="R104" s="629"/>
      <c r="T104" s="629">
        <v>20898</v>
      </c>
      <c r="U104" s="629"/>
      <c r="W104" s="629">
        <v>20898</v>
      </c>
      <c r="X104" s="629"/>
    </row>
    <row r="105" spans="2:24" ht="14.25" customHeight="1">
      <c r="B105" s="628"/>
      <c r="C105" s="628"/>
    </row>
    <row r="106" spans="2:24" ht="14.25" customHeight="1">
      <c r="B106" s="628"/>
      <c r="C106" s="628"/>
    </row>
    <row r="107" spans="2:24" ht="14.25" customHeight="1">
      <c r="B107" s="628" t="s">
        <v>633</v>
      </c>
      <c r="C107" s="628"/>
      <c r="E107" s="599">
        <v>10000</v>
      </c>
      <c r="G107" s="599">
        <v>10000</v>
      </c>
      <c r="I107" s="599">
        <v>10000</v>
      </c>
    </row>
    <row r="108" spans="2:24" ht="14.25" customHeight="1">
      <c r="B108" s="628"/>
      <c r="C108" s="628"/>
    </row>
    <row r="109" spans="2:24" ht="14.25" customHeight="1">
      <c r="B109" s="628"/>
      <c r="C109" s="628"/>
    </row>
    <row r="110" spans="2:24" ht="14.25" customHeight="1">
      <c r="B110" s="628" t="s">
        <v>632</v>
      </c>
      <c r="C110" s="628"/>
      <c r="E110" s="599">
        <v>20000</v>
      </c>
      <c r="G110" s="599">
        <v>20000</v>
      </c>
      <c r="I110" s="599">
        <v>20000</v>
      </c>
    </row>
    <row r="111" spans="2:24" ht="14.25" customHeight="1">
      <c r="B111" s="628"/>
      <c r="C111" s="628"/>
    </row>
    <row r="112" spans="2:24" ht="14.25" customHeight="1">
      <c r="B112" s="628"/>
      <c r="C112" s="628"/>
    </row>
    <row r="113" spans="2:24" ht="14.25" customHeight="1">
      <c r="B113" s="628" t="s">
        <v>631</v>
      </c>
      <c r="C113" s="628"/>
      <c r="E113" s="599">
        <v>200000</v>
      </c>
      <c r="Q113" s="629">
        <v>200000</v>
      </c>
      <c r="R113" s="629"/>
      <c r="T113" s="629">
        <v>200000</v>
      </c>
      <c r="U113" s="629"/>
      <c r="W113" s="629">
        <v>200000</v>
      </c>
      <c r="X113" s="629"/>
    </row>
    <row r="114" spans="2:24" ht="14.25" customHeight="1">
      <c r="B114" s="628"/>
      <c r="C114" s="628"/>
    </row>
    <row r="115" spans="2:24" ht="14.25" customHeight="1">
      <c r="B115" s="628"/>
      <c r="C115" s="628"/>
    </row>
    <row r="116" spans="2:24" ht="14.25" customHeight="1">
      <c r="B116" s="628" t="s">
        <v>630</v>
      </c>
      <c r="C116" s="628"/>
      <c r="E116" s="599">
        <v>20000</v>
      </c>
      <c r="Q116" s="629">
        <v>20000</v>
      </c>
      <c r="R116" s="629"/>
      <c r="T116" s="629">
        <v>20000</v>
      </c>
      <c r="U116" s="629"/>
      <c r="W116" s="629">
        <v>20000</v>
      </c>
      <c r="X116" s="629"/>
    </row>
    <row r="117" spans="2:24" ht="14.25" customHeight="1">
      <c r="B117" s="628"/>
      <c r="C117" s="628"/>
    </row>
    <row r="118" spans="2:24" ht="14.25" customHeight="1">
      <c r="B118" s="628"/>
      <c r="C118" s="628"/>
    </row>
    <row r="119" spans="2:24" ht="14.25" customHeight="1">
      <c r="B119" s="628" t="s">
        <v>629</v>
      </c>
      <c r="C119" s="628"/>
      <c r="E119" s="599">
        <v>5000</v>
      </c>
      <c r="Q119" s="629">
        <v>5000</v>
      </c>
      <c r="R119" s="629"/>
      <c r="T119" s="629">
        <v>5000</v>
      </c>
      <c r="U119" s="629"/>
      <c r="W119" s="629">
        <v>5000</v>
      </c>
      <c r="X119" s="629"/>
    </row>
    <row r="120" spans="2:24" ht="14.25" customHeight="1">
      <c r="B120" s="628"/>
      <c r="C120" s="628"/>
    </row>
    <row r="121" spans="2:24" ht="14.25" customHeight="1">
      <c r="B121" s="628"/>
      <c r="C121" s="628"/>
    </row>
    <row r="122" spans="2:24" ht="14.25" customHeight="1">
      <c r="B122" s="628" t="s">
        <v>628</v>
      </c>
      <c r="C122" s="628"/>
      <c r="E122" s="599">
        <v>20000</v>
      </c>
      <c r="Q122" s="629">
        <v>20000</v>
      </c>
      <c r="R122" s="629"/>
      <c r="T122" s="629">
        <v>20000</v>
      </c>
      <c r="U122" s="629"/>
      <c r="W122" s="629">
        <v>20000</v>
      </c>
      <c r="X122" s="629"/>
    </row>
    <row r="123" spans="2:24" ht="14.25" customHeight="1">
      <c r="B123" s="628"/>
      <c r="C123" s="628"/>
    </row>
    <row r="124" spans="2:24" ht="14.25" customHeight="1">
      <c r="B124" s="628"/>
      <c r="C124" s="628"/>
    </row>
    <row r="125" spans="2:24" ht="14.25" customHeight="1">
      <c r="B125" s="628" t="s">
        <v>627</v>
      </c>
      <c r="C125" s="628"/>
      <c r="E125" s="599">
        <v>1242</v>
      </c>
      <c r="Q125" s="629">
        <v>1242</v>
      </c>
      <c r="R125" s="629"/>
      <c r="T125" s="629">
        <v>1242</v>
      </c>
      <c r="U125" s="629"/>
      <c r="W125" s="629">
        <v>1242</v>
      </c>
      <c r="X125" s="629"/>
    </row>
    <row r="126" spans="2:24" ht="14.25" customHeight="1">
      <c r="B126" s="628"/>
      <c r="C126" s="628"/>
    </row>
    <row r="127" spans="2:24" ht="14.25" customHeight="1">
      <c r="B127" s="628"/>
      <c r="C127" s="628"/>
    </row>
    <row r="128" spans="2:24" ht="14.25" customHeight="1">
      <c r="B128" s="628" t="s">
        <v>626</v>
      </c>
      <c r="C128" s="628"/>
      <c r="E128" s="599">
        <v>15840</v>
      </c>
      <c r="Q128" s="629">
        <v>15840</v>
      </c>
      <c r="R128" s="629"/>
      <c r="T128" s="629">
        <v>15840</v>
      </c>
      <c r="U128" s="629"/>
      <c r="W128" s="629">
        <v>15840</v>
      </c>
      <c r="X128" s="629"/>
    </row>
    <row r="129" spans="2:24" ht="14.25" customHeight="1">
      <c r="B129" s="628"/>
      <c r="C129" s="628"/>
    </row>
    <row r="130" spans="2:24" ht="14.25" customHeight="1">
      <c r="B130" s="628"/>
      <c r="C130" s="628"/>
    </row>
    <row r="131" spans="2:24" ht="14.25" customHeight="1">
      <c r="B131" s="628" t="s">
        <v>625</v>
      </c>
      <c r="C131" s="628"/>
      <c r="E131" s="599">
        <v>17810</v>
      </c>
      <c r="Q131" s="629">
        <v>17810</v>
      </c>
      <c r="R131" s="629"/>
      <c r="T131" s="629">
        <v>17810</v>
      </c>
      <c r="U131" s="629"/>
      <c r="W131" s="629">
        <v>17810</v>
      </c>
      <c r="X131" s="629"/>
    </row>
    <row r="132" spans="2:24" ht="14.25" customHeight="1">
      <c r="B132" s="628"/>
      <c r="C132" s="628"/>
    </row>
    <row r="133" spans="2:24" ht="14.25" customHeight="1">
      <c r="B133" s="628"/>
      <c r="C133" s="628"/>
    </row>
    <row r="134" spans="2:24" ht="14.25" customHeight="1">
      <c r="B134" s="628" t="s">
        <v>624</v>
      </c>
      <c r="C134" s="628"/>
      <c r="E134" s="599">
        <v>78598</v>
      </c>
      <c r="Q134" s="629">
        <v>78598</v>
      </c>
      <c r="R134" s="629"/>
      <c r="T134" s="629">
        <v>78598</v>
      </c>
      <c r="U134" s="629"/>
      <c r="W134" s="629">
        <v>78598</v>
      </c>
      <c r="X134" s="629"/>
    </row>
    <row r="135" spans="2:24" ht="14.25" customHeight="1">
      <c r="B135" s="628"/>
      <c r="C135" s="628"/>
    </row>
    <row r="136" spans="2:24" ht="14.25" customHeight="1">
      <c r="B136" s="628"/>
      <c r="C136" s="628"/>
    </row>
    <row r="137" spans="2:24" ht="14.25" customHeight="1">
      <c r="B137" s="628" t="s">
        <v>623</v>
      </c>
      <c r="C137" s="628"/>
      <c r="E137" s="599">
        <v>1789232</v>
      </c>
      <c r="Q137" s="629">
        <v>1789232</v>
      </c>
      <c r="R137" s="629"/>
      <c r="T137" s="629">
        <v>1789232</v>
      </c>
      <c r="U137" s="629"/>
      <c r="W137" s="629">
        <v>1789232</v>
      </c>
      <c r="X137" s="629"/>
    </row>
    <row r="138" spans="2:24" ht="14.25" customHeight="1">
      <c r="B138" s="628"/>
      <c r="C138" s="628"/>
    </row>
    <row r="139" spans="2:24" ht="14.25" customHeight="1">
      <c r="B139" s="628"/>
      <c r="C139" s="628"/>
    </row>
    <row r="140" spans="2:24" ht="14.25" customHeight="1">
      <c r="B140" s="628" t="s">
        <v>622</v>
      </c>
      <c r="C140" s="628"/>
      <c r="E140" s="599">
        <v>18300</v>
      </c>
      <c r="Q140" s="629">
        <v>18300</v>
      </c>
      <c r="R140" s="629"/>
      <c r="T140" s="629">
        <v>18300</v>
      </c>
      <c r="U140" s="629"/>
      <c r="W140" s="629">
        <v>18300</v>
      </c>
      <c r="X140" s="629"/>
    </row>
    <row r="141" spans="2:24" ht="14.25" customHeight="1">
      <c r="B141" s="628"/>
      <c r="C141" s="628"/>
    </row>
    <row r="142" spans="2:24" ht="14.25" customHeight="1">
      <c r="B142" s="628"/>
      <c r="C142" s="628"/>
    </row>
    <row r="143" spans="2:24" ht="14.25" customHeight="1">
      <c r="B143" s="628" t="s">
        <v>621</v>
      </c>
      <c r="C143" s="628"/>
      <c r="E143" s="599">
        <v>7000</v>
      </c>
      <c r="Q143" s="629">
        <v>7000</v>
      </c>
      <c r="R143" s="629"/>
      <c r="T143" s="629">
        <v>7000</v>
      </c>
      <c r="U143" s="629"/>
      <c r="W143" s="629">
        <v>7000</v>
      </c>
      <c r="X143" s="629"/>
    </row>
    <row r="144" spans="2:24" ht="14.25" customHeight="1">
      <c r="B144" s="628"/>
      <c r="C144" s="628"/>
    </row>
    <row r="145" spans="2:24" ht="14.25" customHeight="1">
      <c r="B145" s="628"/>
      <c r="C145" s="628"/>
    </row>
    <row r="146" spans="2:24" ht="14.25" customHeight="1">
      <c r="B146" s="628" t="s">
        <v>620</v>
      </c>
      <c r="C146" s="628"/>
      <c r="E146" s="599">
        <v>17850</v>
      </c>
      <c r="Q146" s="629">
        <v>17850</v>
      </c>
      <c r="R146" s="629"/>
      <c r="T146" s="629">
        <v>17850</v>
      </c>
      <c r="U146" s="629"/>
      <c r="W146" s="629">
        <v>17850</v>
      </c>
      <c r="X146" s="629"/>
    </row>
    <row r="147" spans="2:24" ht="14.25" customHeight="1">
      <c r="B147" s="628"/>
      <c r="C147" s="628"/>
    </row>
    <row r="148" spans="2:24" ht="14.25" customHeight="1">
      <c r="B148" s="628"/>
      <c r="C148" s="628"/>
    </row>
    <row r="149" spans="2:24" ht="14.25" customHeight="1">
      <c r="B149" s="628" t="s">
        <v>619</v>
      </c>
      <c r="C149" s="628"/>
      <c r="E149" s="599">
        <v>15990</v>
      </c>
      <c r="Q149" s="629">
        <v>15990</v>
      </c>
      <c r="R149" s="629"/>
      <c r="T149" s="629">
        <v>15990</v>
      </c>
      <c r="U149" s="629"/>
      <c r="W149" s="629">
        <v>15990</v>
      </c>
      <c r="X149" s="629"/>
    </row>
    <row r="150" spans="2:24" ht="14.25" customHeight="1">
      <c r="B150" s="628"/>
      <c r="C150" s="628"/>
    </row>
    <row r="151" spans="2:24" ht="14.25" customHeight="1">
      <c r="B151" s="628"/>
      <c r="C151" s="628"/>
    </row>
    <row r="152" spans="2:24" ht="14.25" customHeight="1">
      <c r="B152" s="628" t="s">
        <v>618</v>
      </c>
      <c r="C152" s="628"/>
      <c r="E152" s="599">
        <v>23730</v>
      </c>
      <c r="Q152" s="629">
        <v>23730</v>
      </c>
      <c r="R152" s="629"/>
      <c r="T152" s="629">
        <v>23730</v>
      </c>
      <c r="U152" s="629"/>
      <c r="W152" s="629">
        <v>23730</v>
      </c>
      <c r="X152" s="629"/>
    </row>
    <row r="153" spans="2:24" ht="14.25" customHeight="1">
      <c r="B153" s="628"/>
      <c r="C153" s="628"/>
    </row>
    <row r="154" spans="2:24" ht="14.25" customHeight="1">
      <c r="B154" s="628"/>
      <c r="C154" s="628"/>
    </row>
    <row r="155" spans="2:24" ht="14.25" customHeight="1">
      <c r="B155" s="628" t="s">
        <v>617</v>
      </c>
      <c r="C155" s="628"/>
      <c r="E155" s="599">
        <v>553265</v>
      </c>
      <c r="Q155" s="629">
        <v>553265</v>
      </c>
      <c r="R155" s="629"/>
      <c r="T155" s="629">
        <v>553265</v>
      </c>
      <c r="U155" s="629"/>
      <c r="W155" s="629">
        <v>553265</v>
      </c>
      <c r="X155" s="629"/>
    </row>
    <row r="156" spans="2:24" ht="14.25" customHeight="1">
      <c r="B156" s="628"/>
      <c r="C156" s="628"/>
    </row>
    <row r="157" spans="2:24" ht="14.25" customHeight="1">
      <c r="B157" s="628"/>
      <c r="C157" s="628"/>
    </row>
    <row r="158" spans="2:24" ht="12" customHeight="1">
      <c r="B158" s="598" t="s">
        <v>616</v>
      </c>
      <c r="E158" s="597">
        <v>9893618</v>
      </c>
      <c r="G158" s="597">
        <v>2444539</v>
      </c>
      <c r="I158" s="597">
        <v>2456852</v>
      </c>
      <c r="Q158" s="630">
        <v>7436766</v>
      </c>
      <c r="R158" s="630"/>
      <c r="T158" s="630">
        <v>7436766</v>
      </c>
      <c r="U158" s="630"/>
      <c r="W158" s="630">
        <v>7436766</v>
      </c>
      <c r="X158" s="630"/>
    </row>
    <row r="159" spans="2:24" ht="234.75" customHeight="1"/>
  </sheetData>
  <mergeCells count="227">
    <mergeCell ref="W7:X9"/>
    <mergeCell ref="T7:T9"/>
    <mergeCell ref="W25:X25"/>
    <mergeCell ref="T25:U25"/>
    <mergeCell ref="W19:X19"/>
    <mergeCell ref="T19:U19"/>
    <mergeCell ref="W13:X13"/>
    <mergeCell ref="T13:U13"/>
    <mergeCell ref="W33:X33"/>
    <mergeCell ref="T33:U33"/>
    <mergeCell ref="W31:X31"/>
    <mergeCell ref="T31:U31"/>
    <mergeCell ref="W29:X29"/>
    <mergeCell ref="T29:U29"/>
    <mergeCell ref="W39:X39"/>
    <mergeCell ref="T39:U39"/>
    <mergeCell ref="W37:X37"/>
    <mergeCell ref="T37:U37"/>
    <mergeCell ref="W35:X35"/>
    <mergeCell ref="T35:U35"/>
    <mergeCell ref="W45:X45"/>
    <mergeCell ref="T45:U45"/>
    <mergeCell ref="W43:X43"/>
    <mergeCell ref="T43:U43"/>
    <mergeCell ref="W41:X41"/>
    <mergeCell ref="T41:U41"/>
    <mergeCell ref="W51:X51"/>
    <mergeCell ref="T51:U51"/>
    <mergeCell ref="W49:X49"/>
    <mergeCell ref="T49:U49"/>
    <mergeCell ref="W47:X47"/>
    <mergeCell ref="T47:U47"/>
    <mergeCell ref="W61:X61"/>
    <mergeCell ref="T61:U61"/>
    <mergeCell ref="W59:X59"/>
    <mergeCell ref="T59:U59"/>
    <mergeCell ref="W53:X53"/>
    <mergeCell ref="T53:U53"/>
    <mergeCell ref="W67:X67"/>
    <mergeCell ref="T67:U67"/>
    <mergeCell ref="W65:X65"/>
    <mergeCell ref="T65:U65"/>
    <mergeCell ref="W63:X63"/>
    <mergeCell ref="T63:U63"/>
    <mergeCell ref="W74:X74"/>
    <mergeCell ref="T74:U74"/>
    <mergeCell ref="W72:X72"/>
    <mergeCell ref="T72:U72"/>
    <mergeCell ref="W70:X70"/>
    <mergeCell ref="T70:U70"/>
    <mergeCell ref="W81:X81"/>
    <mergeCell ref="T81:U81"/>
    <mergeCell ref="W78:X78"/>
    <mergeCell ref="T78:U78"/>
    <mergeCell ref="W76:X76"/>
    <mergeCell ref="T76:U76"/>
    <mergeCell ref="W89:X89"/>
    <mergeCell ref="T89:U89"/>
    <mergeCell ref="W86:X86"/>
    <mergeCell ref="T86:U86"/>
    <mergeCell ref="W83:X83"/>
    <mergeCell ref="T83:U83"/>
    <mergeCell ref="W98:X98"/>
    <mergeCell ref="T98:U98"/>
    <mergeCell ref="W95:X95"/>
    <mergeCell ref="T95:U95"/>
    <mergeCell ref="W91:X91"/>
    <mergeCell ref="T91:U91"/>
    <mergeCell ref="W113:X113"/>
    <mergeCell ref="T113:U113"/>
    <mergeCell ref="W104:X104"/>
    <mergeCell ref="T104:U104"/>
    <mergeCell ref="W101:X101"/>
    <mergeCell ref="T101:U101"/>
    <mergeCell ref="W122:X122"/>
    <mergeCell ref="T122:U122"/>
    <mergeCell ref="W119:X119"/>
    <mergeCell ref="T119:U119"/>
    <mergeCell ref="W116:X116"/>
    <mergeCell ref="T116:U116"/>
    <mergeCell ref="W131:X131"/>
    <mergeCell ref="T131:U131"/>
    <mergeCell ref="W128:X128"/>
    <mergeCell ref="T128:U128"/>
    <mergeCell ref="W125:X125"/>
    <mergeCell ref="T125:U125"/>
    <mergeCell ref="W140:X140"/>
    <mergeCell ref="T140:U140"/>
    <mergeCell ref="W137:X137"/>
    <mergeCell ref="T137:U137"/>
    <mergeCell ref="W134:X134"/>
    <mergeCell ref="T134:U134"/>
    <mergeCell ref="W149:X149"/>
    <mergeCell ref="T149:U149"/>
    <mergeCell ref="W146:X146"/>
    <mergeCell ref="T146:U146"/>
    <mergeCell ref="W143:X143"/>
    <mergeCell ref="T143:U143"/>
    <mergeCell ref="W158:X158"/>
    <mergeCell ref="T158:U158"/>
    <mergeCell ref="W155:X155"/>
    <mergeCell ref="T155:U155"/>
    <mergeCell ref="W152:X152"/>
    <mergeCell ref="T152:U152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Q7:R9"/>
    <mergeCell ref="B11:C12"/>
    <mergeCell ref="B13:C14"/>
    <mergeCell ref="Q13:R13"/>
    <mergeCell ref="B15:C16"/>
    <mergeCell ref="B17:C18"/>
    <mergeCell ref="B19:C20"/>
    <mergeCell ref="Q19:R19"/>
    <mergeCell ref="B21:C22"/>
    <mergeCell ref="B23:C24"/>
    <mergeCell ref="B25:C26"/>
    <mergeCell ref="Q25:R25"/>
    <mergeCell ref="B27:C28"/>
    <mergeCell ref="B29:C30"/>
    <mergeCell ref="Q29:R29"/>
    <mergeCell ref="B31:C32"/>
    <mergeCell ref="Q31:R31"/>
    <mergeCell ref="B33:C34"/>
    <mergeCell ref="Q33:R33"/>
    <mergeCell ref="B35:C36"/>
    <mergeCell ref="Q35:R35"/>
    <mergeCell ref="B37:C38"/>
    <mergeCell ref="Q37:R37"/>
    <mergeCell ref="B39:C40"/>
    <mergeCell ref="Q39:R39"/>
    <mergeCell ref="B41:C42"/>
    <mergeCell ref="Q41:R41"/>
    <mergeCell ref="B43:C44"/>
    <mergeCell ref="Q43:R43"/>
    <mergeCell ref="B45:C46"/>
    <mergeCell ref="Q45:R45"/>
    <mergeCell ref="B47:C48"/>
    <mergeCell ref="Q47:R47"/>
    <mergeCell ref="B49:C50"/>
    <mergeCell ref="Q49:R49"/>
    <mergeCell ref="B51:C52"/>
    <mergeCell ref="Q51:R51"/>
    <mergeCell ref="B53:C54"/>
    <mergeCell ref="Q53:R53"/>
    <mergeCell ref="B55:C56"/>
    <mergeCell ref="B57:C58"/>
    <mergeCell ref="B59:C60"/>
    <mergeCell ref="Q59:R59"/>
    <mergeCell ref="B61:C62"/>
    <mergeCell ref="Q61:R61"/>
    <mergeCell ref="B63:C64"/>
    <mergeCell ref="Q63:R63"/>
    <mergeCell ref="B65:C66"/>
    <mergeCell ref="Q65:R65"/>
    <mergeCell ref="B67:C69"/>
    <mergeCell ref="Q67:R67"/>
    <mergeCell ref="B70:C71"/>
    <mergeCell ref="Q70:R70"/>
    <mergeCell ref="B72:C73"/>
    <mergeCell ref="Q72:R72"/>
    <mergeCell ref="B74:C75"/>
    <mergeCell ref="Q74:R74"/>
    <mergeCell ref="B76:C77"/>
    <mergeCell ref="Q76:R76"/>
    <mergeCell ref="B78:C80"/>
    <mergeCell ref="Q78:R78"/>
    <mergeCell ref="B81:C82"/>
    <mergeCell ref="Q81:R81"/>
    <mergeCell ref="B83:C85"/>
    <mergeCell ref="Q83:R83"/>
    <mergeCell ref="B86:C88"/>
    <mergeCell ref="Q86:R86"/>
    <mergeCell ref="B89:C90"/>
    <mergeCell ref="Q89:R89"/>
    <mergeCell ref="B91:C92"/>
    <mergeCell ref="Q91:R91"/>
    <mergeCell ref="B93:C94"/>
    <mergeCell ref="B95:C97"/>
    <mergeCell ref="Q95:R95"/>
    <mergeCell ref="B98:C100"/>
    <mergeCell ref="Q98:R98"/>
    <mergeCell ref="B101:C103"/>
    <mergeCell ref="Q101:R101"/>
    <mergeCell ref="B104:C106"/>
    <mergeCell ref="Q104:R104"/>
    <mergeCell ref="B107:C109"/>
    <mergeCell ref="B110:C112"/>
    <mergeCell ref="B113:C115"/>
    <mergeCell ref="Q113:R113"/>
    <mergeCell ref="B116:C118"/>
    <mergeCell ref="Q116:R116"/>
    <mergeCell ref="B119:C121"/>
    <mergeCell ref="Q119:R119"/>
    <mergeCell ref="B122:C124"/>
    <mergeCell ref="Q122:R122"/>
    <mergeCell ref="B125:C127"/>
    <mergeCell ref="Q125:R125"/>
    <mergeCell ref="B128:C130"/>
    <mergeCell ref="Q128:R128"/>
    <mergeCell ref="B131:C133"/>
    <mergeCell ref="Q131:R131"/>
    <mergeCell ref="B149:C151"/>
    <mergeCell ref="Q149:R149"/>
    <mergeCell ref="B152:C154"/>
    <mergeCell ref="Q152:R152"/>
    <mergeCell ref="B155:C157"/>
    <mergeCell ref="Q155:R155"/>
    <mergeCell ref="Q158:R158"/>
    <mergeCell ref="B134:C136"/>
    <mergeCell ref="Q134:R134"/>
    <mergeCell ref="B137:C139"/>
    <mergeCell ref="Q137:R137"/>
    <mergeCell ref="B140:C142"/>
    <mergeCell ref="Q140:R140"/>
    <mergeCell ref="B143:C145"/>
    <mergeCell ref="Q143:R143"/>
    <mergeCell ref="B146:C148"/>
    <mergeCell ref="Q146:R146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zoomScale="90" zoomScaleNormal="90" workbookViewId="0">
      <selection activeCell="C23" sqref="C23:E32"/>
    </sheetView>
  </sheetViews>
  <sheetFormatPr defaultRowHeight="14.25"/>
  <cols>
    <col min="1" max="1" width="47.42578125" customWidth="1"/>
    <col min="2" max="2" width="65.85546875" customWidth="1"/>
    <col min="3" max="3" width="21.42578125" style="176" bestFit="1" customWidth="1"/>
    <col min="4" max="5" width="11.5703125" style="157" customWidth="1"/>
    <col min="6" max="6" width="12.85546875" style="157" bestFit="1" customWidth="1"/>
    <col min="7" max="7" width="17.85546875" style="157" customWidth="1"/>
    <col min="8" max="8" width="13" bestFit="1" customWidth="1"/>
  </cols>
  <sheetData>
    <row r="1" spans="1:8">
      <c r="A1" s="626" t="s">
        <v>337</v>
      </c>
      <c r="B1" s="626"/>
    </row>
    <row r="2" spans="1:8">
      <c r="A2" s="627" t="s">
        <v>338</v>
      </c>
      <c r="B2" s="626"/>
    </row>
    <row r="3" spans="1:8">
      <c r="A3" s="626" t="s">
        <v>339</v>
      </c>
      <c r="B3" s="626"/>
    </row>
    <row r="4" spans="1:8" ht="28.5">
      <c r="A4" s="626" t="s">
        <v>340</v>
      </c>
      <c r="B4" s="626"/>
      <c r="C4" s="177" t="s">
        <v>341</v>
      </c>
      <c r="D4" s="189" t="s">
        <v>342</v>
      </c>
      <c r="E4" s="157" t="s">
        <v>343</v>
      </c>
      <c r="F4" s="189" t="s">
        <v>344</v>
      </c>
    </row>
    <row r="5" spans="1:8">
      <c r="A5" s="627" t="s">
        <v>345</v>
      </c>
      <c r="B5" s="626"/>
      <c r="C5" s="178">
        <v>0</v>
      </c>
      <c r="D5" s="179">
        <f>縣庫對帳!P6</f>
        <v>46454</v>
      </c>
      <c r="E5" s="179">
        <v>40000</v>
      </c>
      <c r="F5" s="179">
        <f>庫款差額!C8+庫款差額!C15-庫款差額!C18-庫款差額!C21</f>
        <v>2892000</v>
      </c>
    </row>
    <row r="6" spans="1:8" ht="15" thickBot="1">
      <c r="A6" s="624" t="s">
        <v>346</v>
      </c>
      <c r="B6" s="625"/>
      <c r="C6" s="176" t="s">
        <v>347</v>
      </c>
      <c r="D6" s="191">
        <f>VLOOKUP("銀行存款-縣庫存款",平衡!$E$13:$H$41,4,0)+VLOOKUP("零用及週轉金",平衡!$D$13:$H$41,5,0)</f>
        <v>2569373</v>
      </c>
      <c r="E6" s="191">
        <f>VLOOKUP("淨資產",平衡!$K$13:$U$64,10,0)+C5-VLOOKUP("固定資產",平衡!$B$13:$H$41,7,0)</f>
        <v>2569373</v>
      </c>
      <c r="F6" s="162" t="s">
        <v>348</v>
      </c>
    </row>
    <row r="7" spans="1:8" ht="15" thickBot="1">
      <c r="A7" s="624" t="s">
        <v>349</v>
      </c>
      <c r="B7" s="625"/>
      <c r="C7" s="176" t="s">
        <v>350</v>
      </c>
      <c r="D7" s="191">
        <f>VLOOKUP("銀行存款-專戶存款",平衡!$E$13:$H$41,4,0)+VLOOKUP("其他預付款",平衡!$D$13:$H$41,5,0)</f>
        <v>7436766</v>
      </c>
      <c r="E7" s="191" t="e">
        <f>VLOOKUP("應付代收款",平衡!$N$13:$U$41,7,0)+VLOOKUP("存入保證金",平衡!$N$13:$U$41,7,0)</f>
        <v>#N/A</v>
      </c>
      <c r="F7" s="162" t="s">
        <v>351</v>
      </c>
    </row>
    <row r="8" spans="1:8" ht="20.25" thickBot="1">
      <c r="A8" s="77" t="s">
        <v>124</v>
      </c>
      <c r="B8" s="78" t="s">
        <v>125</v>
      </c>
      <c r="C8" s="176" t="s">
        <v>352</v>
      </c>
      <c r="D8" s="192">
        <f>VLOOKUP("合計：",平衡!$A$13:$H$41,8,0)</f>
        <v>72233691</v>
      </c>
      <c r="E8" s="192" t="e">
        <f>VLOOKUP("合計：",平衡!$K$13:$U$41,10,0)</f>
        <v>#N/A</v>
      </c>
    </row>
    <row r="9" spans="1:8" ht="17.25" thickBot="1">
      <c r="A9" s="450" t="s">
        <v>126</v>
      </c>
      <c r="B9" s="74" t="s">
        <v>127</v>
      </c>
      <c r="C9" s="176" t="s">
        <v>353</v>
      </c>
      <c r="D9" s="192">
        <f>VLOOKUP("基金用途",餘絀表!$C$16:$T$45,18,0)</f>
        <v>6951569</v>
      </c>
      <c r="E9" s="192">
        <f>VLOOKUP("合       計",各項費用!$D$12:$Q$86,14)</f>
        <v>6951569</v>
      </c>
      <c r="F9" s="192">
        <f>縣庫對帳!P3</f>
        <v>6951569</v>
      </c>
    </row>
    <row r="10" spans="1:8" ht="33.75" thickBot="1">
      <c r="A10" s="450" t="s">
        <v>128</v>
      </c>
      <c r="B10" s="74" t="s">
        <v>129</v>
      </c>
      <c r="C10" s="176" t="s">
        <v>354</v>
      </c>
      <c r="D10" s="192">
        <f>VLOOKUP("基金來源",餘絀表!$C$16:$T$45,18,0)</f>
        <v>6269000</v>
      </c>
      <c r="E10" s="192">
        <f>縣庫對帳!N3</f>
        <v>6269000</v>
      </c>
      <c r="F10" s="192"/>
      <c r="G10" s="192"/>
      <c r="H10" s="179" t="e">
        <f>D13-E13</f>
        <v>#N/A</v>
      </c>
    </row>
    <row r="11" spans="1:8" ht="27" customHeight="1">
      <c r="A11" s="619" t="s">
        <v>27</v>
      </c>
      <c r="B11" s="619" t="s">
        <v>130</v>
      </c>
      <c r="C11" s="176" t="s">
        <v>355</v>
      </c>
      <c r="D11" s="192">
        <f>VLOOKUP("政府撥入收入",餘絀表!$C$16:$T$45,18,0)</f>
        <v>6269000</v>
      </c>
      <c r="E11" s="192"/>
      <c r="F11" s="192">
        <f>VLOOKUP("政府撥入收入",收支!$B$14:$N$62,13,0)</f>
        <v>6269000</v>
      </c>
      <c r="G11" s="192">
        <f>VLOOKUP("政府撥入收入",對照表!$B$1:$E$28,4,0)</f>
        <v>6269000</v>
      </c>
    </row>
    <row r="12" spans="1:8" ht="28.5">
      <c r="A12" s="622"/>
      <c r="B12" s="622"/>
      <c r="C12" s="176" t="s">
        <v>356</v>
      </c>
      <c r="D12" s="192"/>
      <c r="E12" s="192"/>
      <c r="F12" s="192">
        <f>VLOOKUP("收入",收支!$A$14:$N$62,14,0)</f>
        <v>6269000</v>
      </c>
      <c r="G12" s="192">
        <f>VLOOKUP("基金來源",對照表!$A$1:$E$28,5,0)</f>
        <v>6269000</v>
      </c>
    </row>
    <row r="13" spans="1:8">
      <c r="A13" s="622"/>
      <c r="B13" s="622"/>
      <c r="C13" s="176" t="s">
        <v>357</v>
      </c>
      <c r="D13" s="192" t="e">
        <f>IF(封面!J10=12,0,VLOOKUP($G$13,平衡!$N$13:$U$41,7,0))</f>
        <v>#N/A</v>
      </c>
      <c r="E13" s="192">
        <f>VLOOKUP("本期賸餘（短絀）",收支!$A$14:$N$51,14,0)</f>
        <v>-1023506</v>
      </c>
      <c r="F13" s="192">
        <f>VLOOKUP("本期賸餘(短絀)",對照表!$A$1:$E$28,5,0)</f>
        <v>-1023506</v>
      </c>
      <c r="G13" s="190" t="str">
        <f>IF(E13&gt;=0,"本期賸餘","本期短絀")</f>
        <v>本期短絀</v>
      </c>
    </row>
    <row r="14" spans="1:8">
      <c r="A14" s="622"/>
      <c r="B14" s="622"/>
      <c r="C14" s="176" t="s">
        <v>358</v>
      </c>
      <c r="D14" s="192">
        <f>IF(封面!J10=12,0,VLOOKUP("本期賸餘(短絀－)",餘絀表!$C$16:$T$48,18,0))</f>
        <v>-682569</v>
      </c>
      <c r="E14" s="192"/>
      <c r="F14" s="192">
        <f>IF(封面!J10=12,0,VLOOKUP("本期賸餘(短絀)",對照表!$A$1:$C$28,3,0))</f>
        <v>-682569</v>
      </c>
      <c r="G14" s="190"/>
    </row>
    <row r="15" spans="1:8">
      <c r="A15" s="622"/>
      <c r="B15" s="622"/>
      <c r="C15" s="176" t="s">
        <v>359</v>
      </c>
      <c r="D15" s="192">
        <f>IF(封面!J12=12,0,VLOOKUP($G$15,平衡!$K$13:$U$41,10,0))</f>
        <v>64796925</v>
      </c>
      <c r="E15" s="192">
        <f>IF(封面!J12=12,0,VLOOKUP("期末淨資產",收支!$A$14:$N$51,14,0))</f>
        <v>64796925</v>
      </c>
      <c r="F15" s="192">
        <f>IF(封面!K12=12,0,VLOOKUP("期末基金餘額",對照表!$A$1:$E$41,5,0))</f>
        <v>64796925</v>
      </c>
      <c r="G15" s="190" t="s">
        <v>359</v>
      </c>
      <c r="H15" s="593">
        <f>D15-E15</f>
        <v>0</v>
      </c>
    </row>
    <row r="16" spans="1:8" ht="15" thickBot="1">
      <c r="A16" s="623"/>
      <c r="B16" s="623"/>
      <c r="C16" s="176" t="s">
        <v>360</v>
      </c>
      <c r="D16" s="192">
        <f>VLOOKUP("國民教育計畫",主要業務!$B$15:$J$24,7,0)</f>
        <v>6951569</v>
      </c>
      <c r="E16" s="192">
        <f>VLOOKUP("國民教育計畫",餘絀表!$C$16:$T$45,8,0)</f>
        <v>6951569</v>
      </c>
    </row>
    <row r="17" spans="1:10">
      <c r="A17" s="619" t="s">
        <v>142</v>
      </c>
      <c r="B17" s="619" t="s">
        <v>131</v>
      </c>
      <c r="C17" s="176" t="s">
        <v>361</v>
      </c>
      <c r="D17" s="192">
        <f>主要業務!H17</f>
        <v>6951569</v>
      </c>
      <c r="E17" s="192">
        <f>VLOOKUP("國民教育計畫",餘絀表!$C$16:$T$45,18,0)</f>
        <v>6951569</v>
      </c>
    </row>
    <row r="18" spans="1:10">
      <c r="A18" s="620"/>
      <c r="B18" s="622"/>
      <c r="C18" s="176" t="s">
        <v>362</v>
      </c>
      <c r="D18" s="192">
        <f>主要業務!H20</f>
        <v>0</v>
      </c>
      <c r="E18" s="192" t="e">
        <f>VLOOKUP("建築及設備計畫",餘絀表!$C$16:$T$45,9,0)</f>
        <v>#N/A</v>
      </c>
    </row>
    <row r="19" spans="1:10">
      <c r="A19" s="620"/>
      <c r="B19" s="622"/>
      <c r="C19" s="176" t="s">
        <v>363</v>
      </c>
      <c r="D19" s="192">
        <f>主要業務!H22</f>
        <v>0</v>
      </c>
      <c r="E19" s="192" t="e">
        <f>VLOOKUP("建築及設備計畫",餘絀表!$C$16:$T$45,18,0)</f>
        <v>#N/A</v>
      </c>
    </row>
    <row r="20" spans="1:10">
      <c r="A20" s="620"/>
      <c r="B20" s="622"/>
      <c r="C20" s="176" t="s">
        <v>364</v>
      </c>
      <c r="D20" s="192">
        <f>VLOOKUP("用人費用",各項費用!$F$12:$Q$100,12,0)</f>
        <v>6876844</v>
      </c>
      <c r="E20" s="192">
        <f>VLOOKUP("人事支出",收支!$B$14:$N$62,13,0)</f>
        <v>6876844</v>
      </c>
      <c r="F20" s="192">
        <f>VLOOKUP("用人費用",對照表!$B$1:$E$28,4,0)</f>
        <v>6876844</v>
      </c>
    </row>
    <row r="21" spans="1:10">
      <c r="A21" s="620"/>
      <c r="B21" s="622"/>
      <c r="C21" s="176" t="s">
        <v>365</v>
      </c>
      <c r="D21" s="192">
        <f>IF(E21=0,0,資產!F10+H21-H22)</f>
        <v>340937</v>
      </c>
      <c r="E21" s="192">
        <f>VLOOKUP("折舊、折耗及攤銷",收支!$B$14:$N$62,13,0)</f>
        <v>340937</v>
      </c>
      <c r="F21" s="192">
        <f>VLOOKUP("折舊、折耗及攤銷",對照表!$H$1:$J$28,3,0)</f>
        <v>340937</v>
      </c>
      <c r="G21" s="446" t="s">
        <v>366</v>
      </c>
      <c r="H21" s="447"/>
    </row>
    <row r="22" spans="1:10">
      <c r="A22" s="620"/>
      <c r="B22" s="622"/>
      <c r="C22" s="456"/>
      <c r="D22" s="179"/>
      <c r="E22" s="179"/>
      <c r="F22" s="179"/>
      <c r="G22" s="541" t="s">
        <v>443</v>
      </c>
      <c r="H22" s="457"/>
    </row>
    <row r="23" spans="1:10">
      <c r="A23" s="620"/>
      <c r="B23" s="646"/>
      <c r="C23" s="474"/>
      <c r="D23" s="543" t="str">
        <f>封面!H10&amp;封面!I10&amp;封面!J10&amp;封面!K10&amp;"會計報告各帳戶存款餘額"</f>
        <v>113年1月會計報告各帳戶存款餘額</v>
      </c>
      <c r="E23" s="546"/>
      <c r="F23" s="544"/>
      <c r="G23" s="475" t="s">
        <v>367</v>
      </c>
      <c r="H23" s="476"/>
    </row>
    <row r="24" spans="1:10">
      <c r="A24" s="620"/>
      <c r="B24" s="646"/>
      <c r="C24" s="474"/>
      <c r="D24" s="477" t="s">
        <v>368</v>
      </c>
      <c r="E24" s="478" t="s">
        <v>369</v>
      </c>
      <c r="F24" s="479" t="s">
        <v>370</v>
      </c>
      <c r="G24" s="480"/>
      <c r="H24" s="480"/>
      <c r="I24" s="157"/>
    </row>
    <row r="25" spans="1:10">
      <c r="A25" s="620"/>
      <c r="B25" s="646"/>
      <c r="C25" s="481" t="s">
        <v>371</v>
      </c>
      <c r="D25" s="481">
        <f>代收款!Y14</f>
        <v>3</v>
      </c>
      <c r="E25" s="481"/>
      <c r="F25" s="482">
        <f t="shared" ref="F25" si="0">SUM(D25:E25)</f>
        <v>3</v>
      </c>
      <c r="G25" s="482"/>
      <c r="H25" s="483"/>
      <c r="I25" s="157"/>
    </row>
    <row r="26" spans="1:10" ht="15" thickBot="1">
      <c r="A26" s="621"/>
      <c r="B26" s="647"/>
      <c r="C26" s="481" t="s">
        <v>372</v>
      </c>
      <c r="D26" s="485">
        <f>F26</f>
        <v>3685451</v>
      </c>
      <c r="E26" s="484"/>
      <c r="F26" s="486">
        <f>F31-SUM(F25,F27:F30)</f>
        <v>3685451</v>
      </c>
      <c r="G26" s="482"/>
      <c r="H26" s="483"/>
      <c r="I26" s="157"/>
    </row>
    <row r="27" spans="1:10" ht="17.25" thickBot="1">
      <c r="A27" s="450" t="s">
        <v>132</v>
      </c>
      <c r="B27" s="473" t="s">
        <v>143</v>
      </c>
      <c r="C27" s="481" t="s">
        <v>299</v>
      </c>
      <c r="D27" s="559">
        <f>代收款!Y71</f>
        <v>915150</v>
      </c>
      <c r="E27" s="559"/>
      <c r="F27" s="482">
        <f t="shared" ref="F27:F28" si="1">SUM(D27:E27)</f>
        <v>915150</v>
      </c>
      <c r="G27" s="482"/>
      <c r="H27" s="483"/>
      <c r="I27" s="157"/>
    </row>
    <row r="28" spans="1:10" ht="16.899999999999999" customHeight="1" thickBot="1">
      <c r="A28" s="450" t="s">
        <v>66</v>
      </c>
      <c r="B28" s="473" t="s">
        <v>133</v>
      </c>
      <c r="C28" s="481" t="s">
        <v>302</v>
      </c>
      <c r="D28" s="559">
        <f>代收款!Y92</f>
        <v>894402</v>
      </c>
      <c r="E28" s="559">
        <f>代收款!Z92</f>
        <v>1900000</v>
      </c>
      <c r="F28" s="482">
        <f t="shared" si="1"/>
        <v>2794402</v>
      </c>
      <c r="G28" s="482"/>
      <c r="H28" s="483"/>
      <c r="I28" s="157"/>
      <c r="J28" s="159"/>
    </row>
    <row r="29" spans="1:10" ht="17.25" thickBot="1">
      <c r="A29" s="450" t="s">
        <v>134</v>
      </c>
      <c r="B29" s="473" t="s">
        <v>135</v>
      </c>
      <c r="C29" s="481" t="s">
        <v>301</v>
      </c>
      <c r="D29" s="484">
        <v>0</v>
      </c>
      <c r="E29" s="484"/>
      <c r="F29" s="482">
        <f>SUM(D29:E29)</f>
        <v>0</v>
      </c>
      <c r="G29" s="482"/>
      <c r="H29" s="483"/>
      <c r="I29" s="157"/>
    </row>
    <row r="30" spans="1:10">
      <c r="A30" s="619" t="s">
        <v>136</v>
      </c>
      <c r="B30" s="645" t="s">
        <v>137</v>
      </c>
      <c r="C30" s="481" t="s">
        <v>373</v>
      </c>
      <c r="D30" s="484">
        <f>代收款!Y66</f>
        <v>192</v>
      </c>
      <c r="E30" s="484"/>
      <c r="F30" s="482">
        <f>SUM(D30:E30)</f>
        <v>192</v>
      </c>
      <c r="G30" s="482"/>
      <c r="H30" s="483"/>
      <c r="I30" s="157"/>
    </row>
    <row r="31" spans="1:10">
      <c r="A31" s="622"/>
      <c r="B31" s="646"/>
      <c r="C31" s="487" t="s">
        <v>374</v>
      </c>
      <c r="D31" s="488">
        <f>SUM(D25:D30)</f>
        <v>5495198</v>
      </c>
      <c r="E31" s="488">
        <f>SUM(E25:E30)</f>
        <v>1900000</v>
      </c>
      <c r="F31" s="486">
        <f>VLOOKUP("銀行存款-專戶存款",平衡!$E$13:$H$40,4,0)</f>
        <v>7395198</v>
      </c>
      <c r="G31" s="489">
        <f>SUM(G25:G30)</f>
        <v>0</v>
      </c>
      <c r="H31" s="483"/>
      <c r="I31" s="157"/>
    </row>
    <row r="32" spans="1:10" ht="15" thickBot="1">
      <c r="A32" s="621"/>
      <c r="B32" s="621"/>
      <c r="C32" s="487" t="s">
        <v>441</v>
      </c>
      <c r="D32" s="643">
        <f>SUM(D31:E31)</f>
        <v>7395198</v>
      </c>
      <c r="E32" s="644"/>
      <c r="F32" s="179"/>
      <c r="G32" s="179"/>
      <c r="H32" s="157"/>
      <c r="I32" s="157"/>
    </row>
    <row r="33" spans="1:9" ht="15" thickBot="1">
      <c r="A33" s="193"/>
      <c r="B33" s="193"/>
      <c r="D33" s="176"/>
      <c r="E33" s="176"/>
      <c r="F33" s="192"/>
      <c r="G33" s="192"/>
      <c r="H33" s="179"/>
      <c r="I33" s="157"/>
    </row>
    <row r="34" spans="1:9" ht="15" thickBot="1">
      <c r="A34" s="193"/>
      <c r="B34" s="193"/>
      <c r="D34" s="176"/>
      <c r="E34" s="176"/>
      <c r="F34" s="192"/>
      <c r="G34" s="192"/>
      <c r="H34" s="179"/>
      <c r="I34" s="157"/>
    </row>
    <row r="35" spans="1:9" ht="15" thickBot="1">
      <c r="A35" s="193"/>
      <c r="B35" s="193"/>
      <c r="D35" s="176"/>
      <c r="E35" s="176"/>
      <c r="F35" s="192"/>
      <c r="G35" s="192"/>
      <c r="H35" s="179"/>
    </row>
    <row r="36" spans="1:9" ht="20.25" thickBot="1">
      <c r="A36" s="72"/>
      <c r="B36" s="72"/>
    </row>
    <row r="37" spans="1:9" ht="20.25" thickBot="1">
      <c r="A37" s="75" t="s">
        <v>124</v>
      </c>
      <c r="B37" s="76" t="s">
        <v>138</v>
      </c>
    </row>
    <row r="38" spans="1:9" ht="17.25" thickBot="1">
      <c r="A38" s="450" t="s">
        <v>139</v>
      </c>
      <c r="B38" s="74" t="s">
        <v>159</v>
      </c>
    </row>
    <row r="39" spans="1:9" ht="33.75" thickBot="1">
      <c r="A39" s="450" t="s">
        <v>126</v>
      </c>
      <c r="B39" s="74" t="s">
        <v>160</v>
      </c>
    </row>
    <row r="40" spans="1:9" ht="17.25" thickBot="1">
      <c r="A40" s="450" t="s">
        <v>140</v>
      </c>
      <c r="B40" s="74" t="s">
        <v>141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50" priority="34" stopIfTrue="1">
      <formula>$D$16&lt;&gt;$E$16</formula>
    </cfRule>
  </conditionalFormatting>
  <conditionalFormatting sqref="D17:E17">
    <cfRule type="expression" dxfId="49" priority="33" stopIfTrue="1">
      <formula>$D17&lt;&gt;$E17</formula>
    </cfRule>
  </conditionalFormatting>
  <conditionalFormatting sqref="D18:E18 E19">
    <cfRule type="expression" dxfId="48" priority="32" stopIfTrue="1">
      <formula>$D$18&lt;&gt;$E$18</formula>
    </cfRule>
  </conditionalFormatting>
  <conditionalFormatting sqref="G31">
    <cfRule type="expression" dxfId="47" priority="31" stopIfTrue="1">
      <formula>$F$33&lt;&gt;$G$33</formula>
    </cfRule>
  </conditionalFormatting>
  <conditionalFormatting sqref="G32">
    <cfRule type="expression" dxfId="46" priority="30" stopIfTrue="1">
      <formula>$H$34&lt;&gt;0</formula>
    </cfRule>
  </conditionalFormatting>
  <conditionalFormatting sqref="G33">
    <cfRule type="expression" dxfId="45" priority="29" stopIfTrue="1">
      <formula>$F$33&lt;&gt;$G$33</formula>
    </cfRule>
  </conditionalFormatting>
  <conditionalFormatting sqref="G34">
    <cfRule type="expression" dxfId="44" priority="28" stopIfTrue="1">
      <formula>$H$34&lt;&gt;0</formula>
    </cfRule>
  </conditionalFormatting>
  <conditionalFormatting sqref="G31">
    <cfRule type="expression" dxfId="43" priority="27" stopIfTrue="1">
      <formula>$F$33&lt;&gt;$G$33</formula>
    </cfRule>
  </conditionalFormatting>
  <conditionalFormatting sqref="D14 F14:F15">
    <cfRule type="expression" dxfId="42" priority="26">
      <formula>$D$14&lt;&gt;$F$14</formula>
    </cfRule>
  </conditionalFormatting>
  <conditionalFormatting sqref="F15">
    <cfRule type="expression" dxfId="41" priority="23">
      <formula>$E$15&lt;&gt;$F$15</formula>
    </cfRule>
    <cfRule type="expression" dxfId="40" priority="24">
      <formula>$D$15&lt;&gt;$F$15</formula>
    </cfRule>
    <cfRule type="expression" dxfId="39" priority="25">
      <formula>$D$14&lt;&gt;$F$14</formula>
    </cfRule>
  </conditionalFormatting>
  <conditionalFormatting sqref="D15">
    <cfRule type="expression" dxfId="38" priority="21">
      <formula>$D$15&lt;&gt;$F$15</formula>
    </cfRule>
    <cfRule type="expression" dxfId="37" priority="22">
      <formula>$D$15&lt;&gt;$E$15</formula>
    </cfRule>
  </conditionalFormatting>
  <conditionalFormatting sqref="E15">
    <cfRule type="expression" dxfId="36" priority="19">
      <formula>$E$15&lt;&gt;$F$15</formula>
    </cfRule>
    <cfRule type="expression" dxfId="35" priority="20">
      <formula>$D$15&lt;&gt;$E$15</formula>
    </cfRule>
  </conditionalFormatting>
  <conditionalFormatting sqref="D7:E7">
    <cfRule type="expression" dxfId="34" priority="18">
      <formula>$D$7&lt;&gt;$E$7</formula>
    </cfRule>
  </conditionalFormatting>
  <conditionalFormatting sqref="D8:E8">
    <cfRule type="expression" dxfId="33" priority="17">
      <formula>$D$8&lt;&gt;$E$8</formula>
    </cfRule>
  </conditionalFormatting>
  <conditionalFormatting sqref="E16:E19">
    <cfRule type="expression" dxfId="32" priority="16" stopIfTrue="1">
      <formula>#REF!&lt;&gt;#REF!</formula>
    </cfRule>
  </conditionalFormatting>
  <conditionalFormatting sqref="D20:F20">
    <cfRule type="expression" dxfId="31" priority="14">
      <formula>$D$20&lt;&gt;$E$20</formula>
    </cfRule>
  </conditionalFormatting>
  <conditionalFormatting sqref="D20:F20">
    <cfRule type="expression" dxfId="30" priority="13">
      <formula>$E$20&lt;&gt;$F$20</formula>
    </cfRule>
  </conditionalFormatting>
  <conditionalFormatting sqref="D21:F22 D23:D24 F23">
    <cfRule type="expression" dxfId="29" priority="12">
      <formula>$D$21&lt;&gt;$E$21</formula>
    </cfRule>
  </conditionalFormatting>
  <conditionalFormatting sqref="D21:F22 D23:D24 F23">
    <cfRule type="expression" dxfId="28" priority="11">
      <formula>$D$21&lt;&gt;$F$21</formula>
    </cfRule>
  </conditionalFormatting>
  <conditionalFormatting sqref="D9:F9">
    <cfRule type="expression" dxfId="27" priority="9">
      <formula>$D$9&lt;&gt;$F$9</formula>
    </cfRule>
    <cfRule type="expression" dxfId="26" priority="10">
      <formula>$D$9&lt;&gt;$E$9</formula>
    </cfRule>
  </conditionalFormatting>
  <conditionalFormatting sqref="D10:G10">
    <cfRule type="expression" dxfId="25" priority="8">
      <formula>$D$10&lt;&gt;$E$10</formula>
    </cfRule>
  </conditionalFormatting>
  <conditionalFormatting sqref="F12:G12">
    <cfRule type="expression" dxfId="24" priority="7">
      <formula>$F$12&lt;&gt;$G$12</formula>
    </cfRule>
  </conditionalFormatting>
  <conditionalFormatting sqref="F35:G35">
    <cfRule type="expression" dxfId="23" priority="6" stopIfTrue="1">
      <formula>$F$35&lt;&gt;$G$35</formula>
    </cfRule>
  </conditionalFormatting>
  <conditionalFormatting sqref="F30">
    <cfRule type="expression" dxfId="22" priority="5" stopIfTrue="1">
      <formula>$F31&lt;&gt;$G31</formula>
    </cfRule>
  </conditionalFormatting>
  <conditionalFormatting sqref="G31 F25:F31">
    <cfRule type="expression" dxfId="21" priority="4" stopIfTrue="1">
      <formula>$F25&lt;&gt;$G25</formula>
    </cfRule>
  </conditionalFormatting>
  <conditionalFormatting sqref="E13:F13">
    <cfRule type="expression" dxfId="20" priority="3">
      <formula>$E$13&lt;&gt;$F$13</formula>
    </cfRule>
  </conditionalFormatting>
  <conditionalFormatting sqref="E23">
    <cfRule type="expression" dxfId="19" priority="2">
      <formula>$D$21&lt;&gt;$E$21</formula>
    </cfRule>
  </conditionalFormatting>
  <conditionalFormatting sqref="E23">
    <cfRule type="expression" dxfId="18" priority="1">
      <formula>$D$21&lt;&gt;$F$21</formula>
    </cfRule>
  </conditionalFormatting>
  <conditionalFormatting sqref="F25:G25">
    <cfRule type="expression" dxfId="17" priority="98" stopIfTrue="1">
      <formula>#REF!&lt;&gt;#REF!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="75" zoomScaleSheetLayoutView="100" workbookViewId="0">
      <selection activeCell="J11" sqref="J11"/>
    </sheetView>
  </sheetViews>
  <sheetFormatPr defaultColWidth="9.140625" defaultRowHeight="14.25"/>
  <cols>
    <col min="1" max="6" width="9.140625" style="563"/>
    <col min="7" max="7" width="10.42578125" style="563" bestFit="1" customWidth="1"/>
    <col min="8" max="8" width="14" style="563" customWidth="1"/>
    <col min="9" max="9" width="9.28515625" style="563" bestFit="1" customWidth="1"/>
    <col min="10" max="10" width="9.140625" style="563"/>
    <col min="11" max="12" width="6.85546875" style="563" bestFit="1" customWidth="1"/>
    <col min="13" max="13" width="11.85546875" style="563" customWidth="1"/>
    <col min="14" max="14" width="9.140625" style="563"/>
    <col min="15" max="15" width="11.7109375" style="563" bestFit="1" customWidth="1"/>
    <col min="16" max="16384" width="9.140625" style="563"/>
  </cols>
  <sheetData>
    <row r="1" spans="1:15" ht="36.75">
      <c r="A1" s="562" t="s">
        <v>279</v>
      </c>
    </row>
    <row r="4" spans="1:15" ht="36.75">
      <c r="A4" s="648" t="s">
        <v>278</v>
      </c>
      <c r="B4" s="649"/>
      <c r="C4" s="649"/>
      <c r="D4" s="649"/>
      <c r="E4" s="649"/>
      <c r="F4" s="649"/>
      <c r="G4" s="649"/>
      <c r="H4" s="649"/>
      <c r="I4" s="649"/>
      <c r="J4" s="649"/>
      <c r="K4" s="649"/>
      <c r="L4" s="649"/>
      <c r="M4" s="649"/>
      <c r="N4" s="649"/>
    </row>
    <row r="5" spans="1:15" ht="59.25" customHeight="1"/>
    <row r="6" spans="1:15" ht="59.25" customHeight="1"/>
    <row r="7" spans="1:15" ht="36.75">
      <c r="C7" s="650" t="s">
        <v>117</v>
      </c>
      <c r="D7" s="650"/>
      <c r="E7" s="650"/>
      <c r="F7" s="650"/>
      <c r="G7" s="650"/>
      <c r="H7" s="650"/>
      <c r="I7" s="650"/>
      <c r="J7" s="650"/>
      <c r="K7" s="650"/>
      <c r="L7" s="650"/>
    </row>
    <row r="8" spans="1:15" ht="51.75" customHeight="1"/>
    <row r="9" spans="1:15" ht="51.75" customHeight="1">
      <c r="O9" s="570">
        <f>IF(MOD(H10+1911,4)=0,1,0)</f>
        <v>1</v>
      </c>
    </row>
    <row r="10" spans="1:15" s="564" customFormat="1" ht="32.25">
      <c r="C10" s="565"/>
      <c r="D10" s="565"/>
      <c r="E10" s="652" t="s">
        <v>118</v>
      </c>
      <c r="F10" s="652"/>
      <c r="G10" s="652"/>
      <c r="H10" s="564">
        <v>113</v>
      </c>
      <c r="I10" s="564" t="s">
        <v>119</v>
      </c>
      <c r="J10" s="564">
        <v>1</v>
      </c>
      <c r="K10" s="566" t="s">
        <v>120</v>
      </c>
      <c r="L10" s="567" t="s">
        <v>123</v>
      </c>
      <c r="O10" s="571">
        <f>_xlfn.IFS(J10=1,31,J10=2,28+O9,J10=3,31,J10=4,30,J10=5,31,J10=6,30,J10=7,31,J10=8,31,J10=9,30,J10=10,31,J10=11,30,J10=12,31)</f>
        <v>31</v>
      </c>
    </row>
    <row r="15" spans="1:15" s="568" customFormat="1" ht="34.5" customHeight="1">
      <c r="B15" s="651" t="s">
        <v>121</v>
      </c>
      <c r="C15" s="651"/>
      <c r="D15" s="651"/>
      <c r="E15" s="651"/>
      <c r="F15" s="651"/>
      <c r="H15" s="569"/>
      <c r="I15" s="569" t="s">
        <v>122</v>
      </c>
      <c r="J15" s="569"/>
      <c r="K15" s="569"/>
      <c r="L15" s="569"/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8"/>
  <sheetViews>
    <sheetView showGridLines="0" showOutlineSymbols="0" view="pageBreakPreview" zoomScale="90" zoomScaleSheetLayoutView="90" workbookViewId="0">
      <selection activeCell="G23" sqref="G23"/>
    </sheetView>
  </sheetViews>
  <sheetFormatPr defaultColWidth="6.85546875" defaultRowHeight="12.75" customHeight="1"/>
  <cols>
    <col min="1" max="1" width="2.7109375" style="82" customWidth="1"/>
    <col min="2" max="2" width="1" style="82" customWidth="1"/>
    <col min="3" max="3" width="24" style="82" customWidth="1"/>
    <col min="4" max="4" width="6.140625" style="82" bestFit="1" customWidth="1"/>
    <col min="5" max="5" width="2" style="82" hidden="1" customWidth="1"/>
    <col min="6" max="6" width="3.7109375" style="82" hidden="1" customWidth="1"/>
    <col min="7" max="7" width="16.140625" style="82" customWidth="1"/>
    <col min="8" max="8" width="3" style="82" hidden="1" customWidth="1"/>
    <col min="9" max="9" width="2.42578125" style="82" hidden="1" customWidth="1"/>
    <col min="10" max="10" width="9.85546875" style="82" bestFit="1" customWidth="1"/>
    <col min="11" max="11" width="10.85546875" style="82" hidden="1" customWidth="1"/>
    <col min="12" max="12" width="3" style="82" hidden="1" customWidth="1"/>
    <col min="13" max="13" width="10.85546875" style="82" customWidth="1"/>
    <col min="14" max="14" width="9" style="82" bestFit="1" customWidth="1"/>
    <col min="15" max="15" width="9.85546875" style="82" hidden="1" customWidth="1"/>
    <col min="16" max="16" width="1.7109375" style="82" hidden="1" customWidth="1"/>
    <col min="17" max="17" width="6.7109375" style="82" customWidth="1"/>
    <col min="18" max="19" width="1.140625" style="82" hidden="1" customWidth="1"/>
    <col min="20" max="20" width="12.85546875" style="82" customWidth="1"/>
    <col min="21" max="21" width="8" style="82" hidden="1" customWidth="1"/>
    <col min="22" max="22" width="1.28515625" style="82" hidden="1" customWidth="1"/>
    <col min="23" max="23" width="12.140625" style="82" customWidth="1"/>
    <col min="24" max="24" width="5.7109375" style="82" hidden="1" customWidth="1"/>
    <col min="25" max="25" width="2.7109375" style="82" hidden="1" customWidth="1"/>
    <col min="26" max="26" width="2.5703125" style="82" hidden="1" customWidth="1"/>
    <col min="27" max="27" width="11" style="82" customWidth="1"/>
    <col min="28" max="28" width="3" style="82" hidden="1" customWidth="1"/>
    <col min="29" max="29" width="3.85546875" style="82" hidden="1" customWidth="1"/>
    <col min="30" max="30" width="12.5703125" style="82" customWidth="1"/>
    <col min="31" max="31" width="0" style="82" hidden="1" customWidth="1"/>
    <col min="32" max="32" width="3.85546875" style="82" bestFit="1" customWidth="1"/>
    <col min="33" max="33" width="11.140625" style="208" customWidth="1"/>
    <col min="34" max="16384" width="6.85546875" style="82"/>
  </cols>
  <sheetData>
    <row r="1" spans="2:35" ht="2.25" customHeight="1">
      <c r="AE1" s="656"/>
      <c r="AF1" s="656"/>
      <c r="AG1" s="656"/>
      <c r="AH1" s="656"/>
      <c r="AI1" s="656"/>
    </row>
    <row r="2" spans="2:35" ht="9" customHeight="1">
      <c r="B2" s="460"/>
      <c r="C2" s="660" t="str">
        <f>[1]封面!$A$4</f>
        <v>彰化縣地方教育發展基金－彰化縣秀水鄉馬興國民小學</v>
      </c>
      <c r="D2" s="660"/>
      <c r="E2" s="660"/>
      <c r="F2" s="660"/>
      <c r="G2" s="660"/>
      <c r="H2" s="660"/>
      <c r="I2" s="660"/>
      <c r="J2" s="660"/>
      <c r="K2" s="660"/>
      <c r="L2" s="660"/>
      <c r="M2" s="660"/>
      <c r="N2" s="660"/>
      <c r="O2" s="660"/>
      <c r="P2" s="660"/>
      <c r="Q2" s="660"/>
      <c r="R2" s="660"/>
      <c r="S2" s="660"/>
      <c r="T2" s="660"/>
      <c r="U2" s="660"/>
      <c r="V2" s="660"/>
      <c r="W2" s="660"/>
      <c r="X2" s="660"/>
      <c r="Y2" s="660"/>
      <c r="Z2" s="660"/>
      <c r="AA2" s="660"/>
      <c r="AB2" s="660"/>
      <c r="AC2" s="660"/>
      <c r="AD2" s="660"/>
      <c r="AE2" s="656"/>
      <c r="AF2" s="656"/>
      <c r="AG2" s="656"/>
      <c r="AH2" s="656"/>
      <c r="AI2" s="656"/>
    </row>
    <row r="3" spans="2:35" ht="18" customHeight="1">
      <c r="B3" s="460"/>
      <c r="C3" s="660"/>
      <c r="D3" s="660"/>
      <c r="E3" s="660"/>
      <c r="F3" s="660"/>
      <c r="G3" s="660"/>
      <c r="H3" s="660"/>
      <c r="I3" s="660"/>
      <c r="J3" s="660"/>
      <c r="K3" s="660"/>
      <c r="L3" s="660"/>
      <c r="M3" s="660"/>
      <c r="N3" s="660"/>
      <c r="O3" s="660"/>
      <c r="P3" s="660"/>
      <c r="Q3" s="660"/>
      <c r="R3" s="660"/>
      <c r="S3" s="660"/>
      <c r="T3" s="660"/>
      <c r="U3" s="660"/>
      <c r="V3" s="660"/>
      <c r="W3" s="660"/>
      <c r="X3" s="660"/>
      <c r="Y3" s="660"/>
      <c r="Z3" s="660"/>
      <c r="AA3" s="660"/>
      <c r="AB3" s="660"/>
      <c r="AC3" s="660"/>
      <c r="AD3" s="660"/>
    </row>
    <row r="4" spans="2:35" ht="24" customHeight="1">
      <c r="B4" s="657" t="s">
        <v>9</v>
      </c>
      <c r="C4" s="657"/>
      <c r="D4" s="657"/>
      <c r="E4" s="657"/>
      <c r="F4" s="657"/>
      <c r="G4" s="657"/>
      <c r="H4" s="657"/>
      <c r="I4" s="657"/>
      <c r="J4" s="657"/>
      <c r="K4" s="657"/>
      <c r="L4" s="657"/>
      <c r="M4" s="657"/>
      <c r="N4" s="657"/>
      <c r="O4" s="657"/>
      <c r="P4" s="657"/>
      <c r="Q4" s="657"/>
      <c r="R4" s="657"/>
      <c r="S4" s="657"/>
      <c r="T4" s="657"/>
      <c r="U4" s="657"/>
      <c r="V4" s="657"/>
      <c r="W4" s="657"/>
      <c r="X4" s="657"/>
      <c r="Y4" s="657"/>
      <c r="Z4" s="657"/>
      <c r="AA4" s="657"/>
      <c r="AB4" s="657"/>
      <c r="AC4" s="657"/>
      <c r="AD4" s="657"/>
    </row>
    <row r="5" spans="2:35" ht="7.5" customHeight="1">
      <c r="C5" s="658" t="str">
        <f>封面!$E$10&amp;封面!$H$10&amp;封面!$I$10&amp;封面!$J$10&amp;封面!$K$10&amp;封面!L10</f>
        <v>中華民國113年1月份</v>
      </c>
      <c r="D5" s="658"/>
      <c r="E5" s="658"/>
      <c r="F5" s="658"/>
      <c r="G5" s="658"/>
      <c r="H5" s="658"/>
      <c r="I5" s="658"/>
      <c r="J5" s="658"/>
      <c r="K5" s="658"/>
      <c r="L5" s="658"/>
      <c r="M5" s="658"/>
      <c r="N5" s="658"/>
      <c r="O5" s="658"/>
      <c r="P5" s="658"/>
      <c r="Q5" s="658"/>
      <c r="R5" s="658"/>
      <c r="S5" s="658"/>
      <c r="T5" s="658"/>
      <c r="U5" s="658"/>
      <c r="V5" s="658"/>
      <c r="W5" s="658"/>
      <c r="X5" s="658"/>
      <c r="Y5" s="658"/>
      <c r="Z5" s="658"/>
      <c r="AA5" s="658"/>
      <c r="AB5" s="658"/>
      <c r="AC5" s="658"/>
      <c r="AD5" s="658"/>
    </row>
    <row r="6" spans="2:35" ht="13.9" customHeight="1">
      <c r="C6" s="658"/>
      <c r="D6" s="658"/>
      <c r="E6" s="658"/>
      <c r="F6" s="658"/>
      <c r="G6" s="658"/>
      <c r="H6" s="658"/>
      <c r="I6" s="658"/>
      <c r="J6" s="658"/>
      <c r="K6" s="658"/>
      <c r="L6" s="658"/>
      <c r="M6" s="658"/>
      <c r="N6" s="658"/>
      <c r="O6" s="658"/>
      <c r="P6" s="658"/>
      <c r="Q6" s="658"/>
      <c r="R6" s="658"/>
      <c r="S6" s="658"/>
      <c r="T6" s="658"/>
      <c r="U6" s="658"/>
      <c r="V6" s="658"/>
      <c r="W6" s="658"/>
      <c r="X6" s="658"/>
      <c r="Y6" s="658"/>
      <c r="Z6" s="658"/>
      <c r="AA6" s="658"/>
      <c r="AB6" s="658"/>
      <c r="AC6" s="658"/>
      <c r="AD6" s="658"/>
    </row>
    <row r="7" spans="2:35" ht="16.149999999999999" customHeight="1">
      <c r="Y7" s="659" t="s">
        <v>1</v>
      </c>
      <c r="Z7" s="659"/>
      <c r="AA7" s="659"/>
      <c r="AB7" s="659"/>
      <c r="AC7" s="659"/>
      <c r="AD7" s="659"/>
    </row>
    <row r="8" spans="2:35" ht="3.75" customHeight="1"/>
    <row r="9" spans="2:35" s="83" customFormat="1" ht="12.75" customHeight="1">
      <c r="C9" s="653" t="s">
        <v>375</v>
      </c>
      <c r="D9" s="653"/>
      <c r="E9" s="459"/>
      <c r="F9" s="459"/>
      <c r="G9" s="672" t="s">
        <v>445</v>
      </c>
      <c r="H9" s="459"/>
      <c r="I9" s="459"/>
      <c r="J9" s="661" t="s">
        <v>10</v>
      </c>
      <c r="K9" s="662"/>
      <c r="L9" s="662"/>
      <c r="M9" s="662"/>
      <c r="N9" s="662"/>
      <c r="O9" s="662"/>
      <c r="P9" s="662"/>
      <c r="Q9" s="663"/>
      <c r="R9" s="459"/>
      <c r="S9" s="459"/>
      <c r="T9" s="661" t="s">
        <v>11</v>
      </c>
      <c r="U9" s="662"/>
      <c r="V9" s="662"/>
      <c r="W9" s="662"/>
      <c r="X9" s="662"/>
      <c r="Y9" s="662"/>
      <c r="Z9" s="662"/>
      <c r="AA9" s="662"/>
      <c r="AB9" s="662"/>
      <c r="AC9" s="662"/>
      <c r="AD9" s="663"/>
      <c r="AG9" s="209"/>
    </row>
    <row r="10" spans="2:35" s="83" customFormat="1" ht="15.6" hidden="1" customHeight="1">
      <c r="C10" s="459"/>
      <c r="D10" s="545"/>
      <c r="E10" s="459"/>
      <c r="F10" s="459"/>
      <c r="G10" s="680"/>
      <c r="H10" s="458"/>
      <c r="I10" s="459"/>
      <c r="J10" s="667"/>
      <c r="K10" s="668"/>
      <c r="L10" s="668"/>
      <c r="M10" s="668"/>
      <c r="N10" s="668"/>
      <c r="O10" s="668"/>
      <c r="P10" s="668"/>
      <c r="Q10" s="669"/>
      <c r="R10" s="459"/>
      <c r="S10" s="459"/>
      <c r="T10" s="667"/>
      <c r="U10" s="668"/>
      <c r="V10" s="668"/>
      <c r="W10" s="668"/>
      <c r="X10" s="668"/>
      <c r="Y10" s="668"/>
      <c r="Z10" s="668"/>
      <c r="AA10" s="668"/>
      <c r="AB10" s="668"/>
      <c r="AC10" s="668"/>
      <c r="AD10" s="669"/>
      <c r="AG10" s="209"/>
    </row>
    <row r="11" spans="2:35" s="83" customFormat="1" ht="25.15" hidden="1" customHeight="1">
      <c r="C11" s="459"/>
      <c r="D11" s="459"/>
      <c r="E11" s="459"/>
      <c r="F11" s="459"/>
      <c r="G11" s="680"/>
      <c r="H11" s="458"/>
      <c r="I11" s="459"/>
      <c r="J11" s="459"/>
      <c r="K11" s="459"/>
      <c r="L11" s="459"/>
      <c r="M11" s="459"/>
      <c r="N11" s="459"/>
      <c r="O11" s="459"/>
      <c r="P11" s="459"/>
      <c r="Q11" s="459"/>
      <c r="R11" s="459"/>
      <c r="S11" s="459"/>
      <c r="T11" s="459"/>
      <c r="U11" s="459"/>
      <c r="V11" s="459"/>
      <c r="W11" s="459"/>
      <c r="X11" s="459"/>
      <c r="Y11" s="459"/>
      <c r="Z11" s="459"/>
      <c r="AA11" s="459"/>
      <c r="AB11" s="459"/>
      <c r="AC11" s="459"/>
      <c r="AD11" s="459"/>
      <c r="AG11" s="209"/>
    </row>
    <row r="12" spans="2:35" s="83" customFormat="1" ht="15" customHeight="1">
      <c r="C12" s="654" t="s">
        <v>444</v>
      </c>
      <c r="D12" s="653" t="s">
        <v>7</v>
      </c>
      <c r="E12" s="459"/>
      <c r="F12" s="459"/>
      <c r="G12" s="680"/>
      <c r="H12" s="458"/>
      <c r="I12" s="459"/>
      <c r="J12" s="672" t="s">
        <v>13</v>
      </c>
      <c r="K12" s="672" t="s">
        <v>13</v>
      </c>
      <c r="L12" s="459"/>
      <c r="M12" s="672" t="s">
        <v>14</v>
      </c>
      <c r="N12" s="661" t="s">
        <v>12</v>
      </c>
      <c r="O12" s="662"/>
      <c r="P12" s="662"/>
      <c r="Q12" s="662"/>
      <c r="R12" s="663"/>
      <c r="S12" s="459"/>
      <c r="T12" s="681" t="s">
        <v>376</v>
      </c>
      <c r="U12" s="459"/>
      <c r="V12" s="459"/>
      <c r="W12" s="661" t="s">
        <v>14</v>
      </c>
      <c r="X12" s="662"/>
      <c r="Y12" s="663"/>
      <c r="Z12" s="459"/>
      <c r="AA12" s="674" t="s">
        <v>12</v>
      </c>
      <c r="AB12" s="675"/>
      <c r="AC12" s="675"/>
      <c r="AD12" s="676"/>
      <c r="AG12" s="209"/>
    </row>
    <row r="13" spans="2:35" s="83" customFormat="1" ht="14.25" customHeight="1">
      <c r="C13" s="655"/>
      <c r="D13" s="653"/>
      <c r="E13" s="461"/>
      <c r="F13" s="459"/>
      <c r="G13" s="680"/>
      <c r="H13" s="458"/>
      <c r="I13" s="459"/>
      <c r="J13" s="680"/>
      <c r="K13" s="680"/>
      <c r="L13" s="459"/>
      <c r="M13" s="680"/>
      <c r="N13" s="667"/>
      <c r="O13" s="668"/>
      <c r="P13" s="668"/>
      <c r="Q13" s="668"/>
      <c r="R13" s="669"/>
      <c r="S13" s="459"/>
      <c r="T13" s="682"/>
      <c r="U13" s="670"/>
      <c r="V13" s="459"/>
      <c r="W13" s="664"/>
      <c r="X13" s="665"/>
      <c r="Y13" s="666"/>
      <c r="Z13" s="459"/>
      <c r="AA13" s="677"/>
      <c r="AB13" s="678"/>
      <c r="AC13" s="678"/>
      <c r="AD13" s="679"/>
      <c r="AG13" s="209"/>
    </row>
    <row r="14" spans="2:35" s="83" customFormat="1" ht="13.5" hidden="1" customHeight="1">
      <c r="C14" s="655"/>
      <c r="D14" s="653"/>
      <c r="E14" s="461"/>
      <c r="F14" s="459"/>
      <c r="G14" s="680"/>
      <c r="H14" s="459"/>
      <c r="I14" s="459"/>
      <c r="J14" s="680"/>
      <c r="K14" s="680"/>
      <c r="L14" s="459"/>
      <c r="M14" s="680"/>
      <c r="N14" s="672" t="s">
        <v>4</v>
      </c>
      <c r="O14" s="672" t="s">
        <v>4</v>
      </c>
      <c r="P14" s="459"/>
      <c r="Q14" s="661" t="s">
        <v>5</v>
      </c>
      <c r="R14" s="663"/>
      <c r="S14" s="459"/>
      <c r="T14" s="682"/>
      <c r="U14" s="671"/>
      <c r="V14" s="459"/>
      <c r="W14" s="664"/>
      <c r="X14" s="665"/>
      <c r="Y14" s="666"/>
      <c r="Z14" s="459"/>
      <c r="AA14" s="670" t="s">
        <v>4</v>
      </c>
      <c r="AB14" s="459"/>
      <c r="AC14" s="459"/>
      <c r="AD14" s="670" t="s">
        <v>5</v>
      </c>
      <c r="AG14" s="209"/>
    </row>
    <row r="15" spans="2:35" s="83" customFormat="1" ht="18" customHeight="1">
      <c r="C15" s="655"/>
      <c r="D15" s="653"/>
      <c r="E15" s="461"/>
      <c r="F15" s="459"/>
      <c r="G15" s="673"/>
      <c r="H15" s="459"/>
      <c r="I15" s="459"/>
      <c r="J15" s="673"/>
      <c r="K15" s="673"/>
      <c r="L15" s="459"/>
      <c r="M15" s="673"/>
      <c r="N15" s="673"/>
      <c r="O15" s="673"/>
      <c r="P15" s="459"/>
      <c r="Q15" s="667"/>
      <c r="R15" s="669"/>
      <c r="S15" s="459"/>
      <c r="T15" s="683"/>
      <c r="U15" s="459"/>
      <c r="V15" s="459"/>
      <c r="W15" s="667"/>
      <c r="X15" s="668"/>
      <c r="Y15" s="669"/>
      <c r="Z15" s="459"/>
      <c r="AA15" s="671"/>
      <c r="AB15" s="459"/>
      <c r="AC15" s="459"/>
      <c r="AD15" s="671"/>
      <c r="AG15" s="209"/>
    </row>
    <row r="16" spans="2:35" ht="15">
      <c r="C16" s="371" t="s">
        <v>15</v>
      </c>
      <c r="D16" s="429" t="s">
        <v>377</v>
      </c>
      <c r="E16" s="372"/>
      <c r="F16" s="84"/>
      <c r="G16" s="169">
        <v>33956000</v>
      </c>
      <c r="H16" s="169"/>
      <c r="I16" s="169"/>
      <c r="J16" s="169">
        <v>6269000</v>
      </c>
      <c r="K16" s="169"/>
      <c r="L16" s="169"/>
      <c r="M16" s="169">
        <v>6269000</v>
      </c>
      <c r="N16" s="170"/>
      <c r="O16" s="170"/>
      <c r="P16" s="105"/>
      <c r="Q16" s="175"/>
      <c r="R16" s="105"/>
      <c r="S16" s="201"/>
      <c r="T16" s="203">
        <v>6269000</v>
      </c>
      <c r="U16" s="169"/>
      <c r="V16" s="170"/>
      <c r="W16" s="206">
        <v>6269000</v>
      </c>
      <c r="X16" s="203"/>
      <c r="Y16" s="169"/>
      <c r="Z16" s="170"/>
      <c r="AA16" s="174"/>
      <c r="AB16" s="105"/>
      <c r="AC16" s="105"/>
      <c r="AD16" s="175"/>
      <c r="AF16" s="82">
        <v>1</v>
      </c>
      <c r="AG16" s="208" t="str">
        <f>IF(LEN(D16)&lt;3,"",IF(OR(ABS(AD16)&gt;10,ABS(AA16)&gt;10000000,AND(T16&gt;0,W16=0)),"填寫說明",""))</f>
        <v/>
      </c>
    </row>
    <row r="17" spans="3:33" ht="15">
      <c r="C17" s="389" t="s">
        <v>16</v>
      </c>
      <c r="D17" s="429" t="s">
        <v>378</v>
      </c>
      <c r="E17" s="391"/>
      <c r="F17" s="86"/>
      <c r="G17" s="171">
        <v>12000</v>
      </c>
      <c r="H17" s="171"/>
      <c r="I17" s="171"/>
      <c r="J17" s="171"/>
      <c r="K17" s="172"/>
      <c r="L17" s="172"/>
      <c r="M17" s="172"/>
      <c r="N17" s="172"/>
      <c r="O17" s="172"/>
      <c r="P17" s="106"/>
      <c r="Q17" s="108"/>
      <c r="R17" s="106"/>
      <c r="S17" s="202"/>
      <c r="T17" s="205"/>
      <c r="U17" s="172"/>
      <c r="V17" s="172"/>
      <c r="W17" s="207"/>
      <c r="X17" s="204"/>
      <c r="Y17" s="172"/>
      <c r="Z17" s="172"/>
      <c r="AA17" s="172"/>
      <c r="AB17" s="106"/>
      <c r="AC17" s="106"/>
      <c r="AD17" s="108"/>
      <c r="AF17" s="82">
        <v>4</v>
      </c>
      <c r="AG17" s="208" t="str">
        <f t="shared" ref="AG17:AG45" si="0">IF(LEN(D17)&lt;3,"",IF(OR(ABS(AD17)&gt;10,ABS(AA17)&gt;10000000,AND(T17&gt;0,W17=0)),"填寫說明",""))</f>
        <v/>
      </c>
    </row>
    <row r="18" spans="3:33" ht="15">
      <c r="C18" s="392" t="s">
        <v>17</v>
      </c>
      <c r="D18" s="429" t="s">
        <v>379</v>
      </c>
      <c r="E18" s="390"/>
      <c r="F18" s="86"/>
      <c r="G18" s="171">
        <v>12000</v>
      </c>
      <c r="H18" s="171"/>
      <c r="I18" s="171"/>
      <c r="J18" s="171"/>
      <c r="K18" s="172"/>
      <c r="L18" s="172"/>
      <c r="M18" s="172"/>
      <c r="N18" s="172"/>
      <c r="O18" s="172"/>
      <c r="P18" s="106"/>
      <c r="Q18" s="108"/>
      <c r="R18" s="106"/>
      <c r="S18" s="202"/>
      <c r="T18" s="205"/>
      <c r="U18" s="172"/>
      <c r="V18" s="172"/>
      <c r="W18" s="207"/>
      <c r="X18" s="204"/>
      <c r="Y18" s="172"/>
      <c r="Z18" s="172"/>
      <c r="AA18" s="172"/>
      <c r="AB18" s="106"/>
      <c r="AC18" s="106"/>
      <c r="AD18" s="108"/>
      <c r="AF18" s="82">
        <v>5</v>
      </c>
      <c r="AG18" s="208" t="str">
        <f t="shared" si="0"/>
        <v/>
      </c>
    </row>
    <row r="19" spans="3:33" ht="15">
      <c r="C19" s="389" t="s">
        <v>18</v>
      </c>
      <c r="D19" s="429" t="s">
        <v>380</v>
      </c>
      <c r="E19" s="391"/>
      <c r="F19" s="86"/>
      <c r="G19" s="171">
        <v>1000</v>
      </c>
      <c r="H19" s="171"/>
      <c r="I19" s="171"/>
      <c r="J19" s="171"/>
      <c r="K19" s="171"/>
      <c r="L19" s="171"/>
      <c r="M19" s="171"/>
      <c r="N19" s="172"/>
      <c r="O19" s="172"/>
      <c r="P19" s="106"/>
      <c r="Q19" s="108"/>
      <c r="R19" s="106"/>
      <c r="S19" s="202"/>
      <c r="T19" s="205"/>
      <c r="U19" s="171"/>
      <c r="V19" s="172"/>
      <c r="W19" s="207"/>
      <c r="X19" s="205"/>
      <c r="Y19" s="171"/>
      <c r="Z19" s="172"/>
      <c r="AA19" s="172"/>
      <c r="AB19" s="106"/>
      <c r="AC19" s="106"/>
      <c r="AD19" s="108"/>
      <c r="AF19" s="82">
        <v>6</v>
      </c>
      <c r="AG19" s="208" t="str">
        <f t="shared" si="0"/>
        <v/>
      </c>
    </row>
    <row r="20" spans="3:33" ht="15" hidden="1">
      <c r="C20" s="392" t="s">
        <v>381</v>
      </c>
      <c r="D20" s="429">
        <v>451</v>
      </c>
      <c r="E20" s="86"/>
      <c r="F20" s="86"/>
      <c r="G20" s="171"/>
      <c r="H20" s="171"/>
      <c r="I20" s="171"/>
      <c r="J20" s="171"/>
      <c r="K20" s="171"/>
      <c r="L20" s="171"/>
      <c r="M20" s="171"/>
      <c r="N20" s="172"/>
      <c r="O20" s="172"/>
      <c r="P20" s="106"/>
      <c r="Q20" s="108"/>
      <c r="R20" s="106"/>
      <c r="S20" s="202"/>
      <c r="T20" s="421"/>
      <c r="U20" s="171"/>
      <c r="V20" s="172"/>
      <c r="W20" s="421"/>
      <c r="X20" s="205"/>
      <c r="Y20" s="171"/>
      <c r="Z20" s="172"/>
      <c r="AA20" s="172"/>
      <c r="AB20" s="106"/>
      <c r="AC20" s="106"/>
      <c r="AD20" s="108"/>
      <c r="AF20" s="82">
        <v>7</v>
      </c>
      <c r="AG20" s="208" t="str">
        <f t="shared" si="0"/>
        <v/>
      </c>
    </row>
    <row r="21" spans="3:33" ht="15">
      <c r="C21" s="392" t="s">
        <v>19</v>
      </c>
      <c r="D21" s="429" t="s">
        <v>382</v>
      </c>
      <c r="E21" s="391"/>
      <c r="F21" s="86"/>
      <c r="G21" s="171">
        <v>1000</v>
      </c>
      <c r="H21" s="171"/>
      <c r="I21" s="171"/>
      <c r="J21" s="171"/>
      <c r="K21" s="172"/>
      <c r="L21" s="172"/>
      <c r="M21" s="172"/>
      <c r="N21" s="172"/>
      <c r="O21" s="172"/>
      <c r="P21" s="106"/>
      <c r="Q21" s="108"/>
      <c r="R21" s="106"/>
      <c r="S21" s="202"/>
      <c r="T21" s="205"/>
      <c r="U21" s="172"/>
      <c r="V21" s="172"/>
      <c r="W21" s="207"/>
      <c r="X21" s="205"/>
      <c r="Y21" s="171"/>
      <c r="Z21" s="171"/>
      <c r="AA21" s="171"/>
      <c r="AB21" s="106"/>
      <c r="AC21" s="108"/>
      <c r="AD21" s="108"/>
      <c r="AF21" s="82">
        <v>8</v>
      </c>
      <c r="AG21" s="208" t="str">
        <f t="shared" si="0"/>
        <v/>
      </c>
    </row>
    <row r="22" spans="3:33" ht="15">
      <c r="C22" s="389" t="s">
        <v>383</v>
      </c>
      <c r="D22" s="429" t="s">
        <v>384</v>
      </c>
      <c r="E22" s="390"/>
      <c r="F22" s="86"/>
      <c r="G22" s="171">
        <v>33941000</v>
      </c>
      <c r="H22" s="171"/>
      <c r="I22" s="171"/>
      <c r="J22" s="171">
        <v>6269000</v>
      </c>
      <c r="K22" s="172"/>
      <c r="L22" s="172"/>
      <c r="M22" s="172">
        <v>6269000</v>
      </c>
      <c r="N22" s="172"/>
      <c r="O22" s="172"/>
      <c r="P22" s="106"/>
      <c r="Q22" s="108"/>
      <c r="R22" s="106"/>
      <c r="S22" s="202"/>
      <c r="T22" s="205">
        <v>6269000</v>
      </c>
      <c r="U22" s="172"/>
      <c r="V22" s="172"/>
      <c r="W22" s="207">
        <v>6269000</v>
      </c>
      <c r="X22" s="205"/>
      <c r="Y22" s="171"/>
      <c r="Z22" s="171"/>
      <c r="AA22" s="171"/>
      <c r="AB22" s="106"/>
      <c r="AC22" s="108"/>
      <c r="AD22" s="108"/>
      <c r="AF22" s="82">
        <v>9</v>
      </c>
      <c r="AG22" s="208" t="str">
        <f t="shared" si="0"/>
        <v/>
      </c>
    </row>
    <row r="23" spans="3:33" ht="15">
      <c r="C23" s="392" t="s">
        <v>21</v>
      </c>
      <c r="D23" s="429" t="s">
        <v>385</v>
      </c>
      <c r="E23" s="391"/>
      <c r="F23" s="86"/>
      <c r="G23" s="171">
        <v>33941000</v>
      </c>
      <c r="H23" s="171"/>
      <c r="I23" s="171"/>
      <c r="J23" s="171">
        <v>6269000</v>
      </c>
      <c r="K23" s="171"/>
      <c r="L23" s="171"/>
      <c r="M23" s="171">
        <v>6269000</v>
      </c>
      <c r="N23" s="171"/>
      <c r="O23" s="171"/>
      <c r="P23" s="107"/>
      <c r="Q23" s="108"/>
      <c r="R23" s="108"/>
      <c r="S23" s="202"/>
      <c r="T23" s="205">
        <v>6269000</v>
      </c>
      <c r="U23" s="171"/>
      <c r="V23" s="172"/>
      <c r="W23" s="207">
        <v>6269000</v>
      </c>
      <c r="X23" s="205"/>
      <c r="Y23" s="171"/>
      <c r="Z23" s="171"/>
      <c r="AA23" s="171"/>
      <c r="AB23" s="106"/>
      <c r="AC23" s="108"/>
      <c r="AD23" s="108"/>
      <c r="AF23" s="82">
        <v>10</v>
      </c>
      <c r="AG23" s="208" t="str">
        <f t="shared" si="0"/>
        <v/>
      </c>
    </row>
    <row r="24" spans="3:33" ht="15">
      <c r="C24" s="167" t="s">
        <v>184</v>
      </c>
      <c r="D24" s="429" t="s">
        <v>386</v>
      </c>
      <c r="E24" s="86"/>
      <c r="F24" s="86"/>
      <c r="G24" s="171">
        <v>2000</v>
      </c>
      <c r="H24" s="171"/>
      <c r="I24" s="171"/>
      <c r="J24" s="171"/>
      <c r="K24" s="171"/>
      <c r="L24" s="171"/>
      <c r="M24" s="171"/>
      <c r="N24" s="171"/>
      <c r="O24" s="171"/>
      <c r="P24" s="107"/>
      <c r="Q24" s="108"/>
      <c r="R24" s="108"/>
      <c r="S24" s="202"/>
      <c r="T24" s="205"/>
      <c r="U24" s="171"/>
      <c r="V24" s="172"/>
      <c r="W24" s="207"/>
      <c r="X24" s="205"/>
      <c r="Y24" s="171"/>
      <c r="Z24" s="171"/>
      <c r="AA24" s="171"/>
      <c r="AB24" s="106"/>
      <c r="AC24" s="108"/>
      <c r="AD24" s="108"/>
      <c r="AF24" s="82">
        <v>11</v>
      </c>
      <c r="AG24" s="208" t="str">
        <f t="shared" si="0"/>
        <v/>
      </c>
    </row>
    <row r="25" spans="3:33" ht="15">
      <c r="C25" s="168" t="s">
        <v>387</v>
      </c>
      <c r="D25" s="429" t="s">
        <v>388</v>
      </c>
      <c r="E25" s="86"/>
      <c r="F25" s="86"/>
      <c r="G25" s="171">
        <v>2000</v>
      </c>
      <c r="H25" s="171"/>
      <c r="I25" s="171"/>
      <c r="J25" s="171"/>
      <c r="K25" s="171"/>
      <c r="L25" s="171"/>
      <c r="M25" s="171"/>
      <c r="N25" s="171"/>
      <c r="O25" s="171"/>
      <c r="P25" s="107"/>
      <c r="Q25" s="108"/>
      <c r="R25" s="108"/>
      <c r="S25" s="202"/>
      <c r="T25" s="205"/>
      <c r="U25" s="171"/>
      <c r="V25" s="172"/>
      <c r="W25" s="207"/>
      <c r="X25" s="205"/>
      <c r="Y25" s="171"/>
      <c r="Z25" s="171"/>
      <c r="AA25" s="171"/>
      <c r="AB25" s="106"/>
      <c r="AC25" s="108"/>
      <c r="AD25" s="108"/>
      <c r="AF25" s="82">
        <v>12</v>
      </c>
      <c r="AG25" s="208" t="str">
        <f t="shared" si="0"/>
        <v/>
      </c>
    </row>
    <row r="26" spans="3:33" ht="15">
      <c r="C26" s="163" t="s">
        <v>167</v>
      </c>
      <c r="D26" s="429" t="s">
        <v>389</v>
      </c>
      <c r="E26" s="86"/>
      <c r="F26" s="86"/>
      <c r="G26" s="171">
        <v>35218000</v>
      </c>
      <c r="H26" s="171"/>
      <c r="I26" s="171"/>
      <c r="J26" s="171">
        <v>6951569</v>
      </c>
      <c r="K26" s="171"/>
      <c r="L26" s="171"/>
      <c r="M26" s="172">
        <v>7531000</v>
      </c>
      <c r="N26" s="171">
        <v>-579431</v>
      </c>
      <c r="O26" s="171"/>
      <c r="P26" s="107"/>
      <c r="Q26" s="108">
        <v>-7.6939450272208205</v>
      </c>
      <c r="R26" s="106"/>
      <c r="S26" s="106"/>
      <c r="T26" s="171">
        <v>6951569</v>
      </c>
      <c r="U26" s="171"/>
      <c r="V26" s="172"/>
      <c r="W26" s="171">
        <v>7531000</v>
      </c>
      <c r="X26" s="171"/>
      <c r="Y26" s="171"/>
      <c r="Z26" s="171"/>
      <c r="AA26" s="171">
        <v>-579431</v>
      </c>
      <c r="AB26" s="106"/>
      <c r="AC26" s="108"/>
      <c r="AD26" s="108">
        <v>-7.6939450272208205</v>
      </c>
      <c r="AF26" s="82">
        <v>13</v>
      </c>
      <c r="AG26" s="208" t="str">
        <f t="shared" si="0"/>
        <v/>
      </c>
    </row>
    <row r="27" spans="3:33" ht="15">
      <c r="C27" s="167" t="s">
        <v>22</v>
      </c>
      <c r="D27" s="429" t="s">
        <v>390</v>
      </c>
      <c r="E27" s="163"/>
      <c r="F27" s="86"/>
      <c r="G27" s="171">
        <v>35218000</v>
      </c>
      <c r="H27" s="171"/>
      <c r="I27" s="171"/>
      <c r="J27" s="171">
        <v>6951569</v>
      </c>
      <c r="K27" s="171"/>
      <c r="L27" s="171"/>
      <c r="M27" s="172">
        <v>7531000</v>
      </c>
      <c r="N27" s="171">
        <v>-579431</v>
      </c>
      <c r="O27" s="171"/>
      <c r="P27" s="107"/>
      <c r="Q27" s="108">
        <v>-7.6939450272208205</v>
      </c>
      <c r="R27" s="106"/>
      <c r="S27" s="106"/>
      <c r="T27" s="171">
        <v>6951569</v>
      </c>
      <c r="U27" s="171"/>
      <c r="V27" s="172"/>
      <c r="W27" s="171">
        <v>7531000</v>
      </c>
      <c r="X27" s="171"/>
      <c r="Y27" s="171"/>
      <c r="Z27" s="171"/>
      <c r="AA27" s="171">
        <v>-579431</v>
      </c>
      <c r="AB27" s="106"/>
      <c r="AC27" s="108"/>
      <c r="AD27" s="108">
        <v>-7.6939450272208205</v>
      </c>
      <c r="AF27" s="82">
        <v>14</v>
      </c>
      <c r="AG27" s="208" t="str">
        <f t="shared" si="0"/>
        <v/>
      </c>
    </row>
    <row r="28" spans="3:33" ht="15">
      <c r="C28" s="168" t="s">
        <v>447</v>
      </c>
      <c r="D28" s="429">
        <v>532</v>
      </c>
      <c r="E28" s="163"/>
      <c r="F28" s="86"/>
      <c r="G28" s="171">
        <v>35218000</v>
      </c>
      <c r="H28" s="171"/>
      <c r="I28" s="171"/>
      <c r="J28" s="171">
        <v>6951569</v>
      </c>
      <c r="K28" s="171"/>
      <c r="L28" s="171"/>
      <c r="M28" s="172">
        <v>7531000</v>
      </c>
      <c r="N28" s="171">
        <v>-579431</v>
      </c>
      <c r="O28" s="171"/>
      <c r="P28" s="107"/>
      <c r="Q28" s="108">
        <v>-7.6939450272208205</v>
      </c>
      <c r="R28" s="106"/>
      <c r="S28" s="106"/>
      <c r="T28" s="171">
        <v>6951569</v>
      </c>
      <c r="U28" s="171"/>
      <c r="V28" s="172"/>
      <c r="W28" s="171">
        <v>7531000</v>
      </c>
      <c r="X28" s="171"/>
      <c r="Y28" s="171"/>
      <c r="Z28" s="171"/>
      <c r="AA28" s="171">
        <v>-579431</v>
      </c>
      <c r="AB28" s="106"/>
      <c r="AC28" s="108"/>
      <c r="AD28" s="108">
        <v>-7.6939450272208205</v>
      </c>
      <c r="AF28" s="82">
        <v>15</v>
      </c>
      <c r="AG28" s="208" t="str">
        <f t="shared" si="0"/>
        <v/>
      </c>
    </row>
    <row r="29" spans="3:33" ht="15">
      <c r="C29" s="163" t="s">
        <v>166</v>
      </c>
      <c r="D29" s="429" t="s">
        <v>391</v>
      </c>
      <c r="E29" s="86"/>
      <c r="F29" s="86"/>
      <c r="G29" s="171">
        <v>-1262000</v>
      </c>
      <c r="H29" s="171"/>
      <c r="I29" s="171"/>
      <c r="J29" s="171">
        <v>-682569</v>
      </c>
      <c r="K29" s="172"/>
      <c r="L29" s="172"/>
      <c r="M29" s="172">
        <v>-1262000</v>
      </c>
      <c r="N29" s="172">
        <v>579431</v>
      </c>
      <c r="O29" s="172"/>
      <c r="P29" s="106"/>
      <c r="Q29" s="108">
        <v>-45.913708399366087</v>
      </c>
      <c r="R29" s="106"/>
      <c r="S29" s="106"/>
      <c r="T29" s="171">
        <v>-682569</v>
      </c>
      <c r="U29" s="171"/>
      <c r="V29" s="172"/>
      <c r="W29" s="171">
        <v>-1262000</v>
      </c>
      <c r="X29" s="171"/>
      <c r="Y29" s="171"/>
      <c r="Z29" s="171"/>
      <c r="AA29" s="171">
        <v>579431</v>
      </c>
      <c r="AB29" s="106"/>
      <c r="AC29" s="108"/>
      <c r="AD29" s="108">
        <v>-45.913708399366087</v>
      </c>
      <c r="AF29" s="82">
        <v>18</v>
      </c>
      <c r="AG29" s="208" t="str">
        <f t="shared" si="0"/>
        <v/>
      </c>
    </row>
    <row r="30" spans="3:33" ht="15">
      <c r="C30" s="163" t="s">
        <v>24</v>
      </c>
      <c r="D30" s="429" t="s">
        <v>392</v>
      </c>
      <c r="E30" s="86"/>
      <c r="F30" s="86"/>
      <c r="G30" s="171">
        <v>1675563</v>
      </c>
      <c r="H30" s="171"/>
      <c r="I30" s="171"/>
      <c r="J30" s="171"/>
      <c r="K30" s="172"/>
      <c r="L30" s="172"/>
      <c r="M30" s="172"/>
      <c r="N30" s="172"/>
      <c r="O30" s="172"/>
      <c r="P30" s="106"/>
      <c r="Q30" s="108"/>
      <c r="R30" s="106"/>
      <c r="S30" s="106"/>
      <c r="T30" s="171">
        <v>3251942</v>
      </c>
      <c r="U30" s="171"/>
      <c r="V30" s="172"/>
      <c r="W30" s="171">
        <v>1675563</v>
      </c>
      <c r="X30" s="171"/>
      <c r="Y30" s="171"/>
      <c r="Z30" s="171"/>
      <c r="AA30" s="171">
        <v>1576379</v>
      </c>
      <c r="AB30" s="106"/>
      <c r="AC30" s="108"/>
      <c r="AD30" s="108">
        <v>94.080556803892179</v>
      </c>
      <c r="AG30" s="208" t="str">
        <f t="shared" si="0"/>
        <v/>
      </c>
    </row>
    <row r="31" spans="3:33" ht="15">
      <c r="C31" s="85" t="s">
        <v>25</v>
      </c>
      <c r="D31" s="429">
        <v>72</v>
      </c>
      <c r="E31" s="86"/>
      <c r="F31" s="86"/>
      <c r="G31" s="171"/>
      <c r="H31" s="171"/>
      <c r="I31" s="171"/>
      <c r="J31" s="171"/>
      <c r="K31" s="172"/>
      <c r="L31" s="172"/>
      <c r="M31" s="172"/>
      <c r="N31" s="172"/>
      <c r="O31" s="172"/>
      <c r="P31" s="106"/>
      <c r="Q31" s="108"/>
      <c r="R31" s="106"/>
      <c r="S31" s="106"/>
      <c r="T31" s="171"/>
      <c r="U31" s="171"/>
      <c r="V31" s="172"/>
      <c r="W31" s="171"/>
      <c r="X31" s="171"/>
      <c r="Y31" s="171"/>
      <c r="Z31" s="171"/>
      <c r="AA31" s="171"/>
      <c r="AB31" s="106"/>
      <c r="AC31" s="108"/>
      <c r="AD31" s="108"/>
      <c r="AG31" s="208" t="str">
        <f t="shared" si="0"/>
        <v/>
      </c>
    </row>
    <row r="32" spans="3:33" ht="15">
      <c r="C32" s="85" t="s">
        <v>26</v>
      </c>
      <c r="D32" s="429" t="s">
        <v>393</v>
      </c>
      <c r="E32" s="86"/>
      <c r="F32" s="86"/>
      <c r="G32" s="171">
        <v>413563</v>
      </c>
      <c r="H32" s="171"/>
      <c r="I32" s="171"/>
      <c r="J32" s="171"/>
      <c r="K32" s="172"/>
      <c r="L32" s="172"/>
      <c r="M32" s="172"/>
      <c r="N32" s="172"/>
      <c r="O32" s="172"/>
      <c r="P32" s="106"/>
      <c r="Q32" s="108"/>
      <c r="R32" s="106"/>
      <c r="S32" s="106"/>
      <c r="T32" s="171">
        <v>2569373</v>
      </c>
      <c r="U32" s="171"/>
      <c r="V32" s="172"/>
      <c r="W32" s="171">
        <v>413563</v>
      </c>
      <c r="X32" s="171"/>
      <c r="Y32" s="171"/>
      <c r="Z32" s="171"/>
      <c r="AA32" s="171">
        <v>2155810</v>
      </c>
      <c r="AB32" s="106"/>
      <c r="AC32" s="108"/>
      <c r="AD32" s="108">
        <v>521.27729027983639</v>
      </c>
      <c r="AG32" s="208" t="str">
        <f t="shared" si="0"/>
        <v/>
      </c>
    </row>
    <row r="33" spans="2:33" ht="15" hidden="1" customHeight="1">
      <c r="C33" s="85"/>
      <c r="D33" s="430"/>
      <c r="E33" s="86"/>
      <c r="F33" s="86"/>
      <c r="G33" s="172"/>
      <c r="H33" s="172"/>
      <c r="I33" s="172"/>
      <c r="J33" s="172"/>
      <c r="K33" s="172"/>
      <c r="L33" s="172"/>
      <c r="M33" s="172"/>
      <c r="N33" s="172"/>
      <c r="O33" s="172"/>
      <c r="P33" s="106"/>
      <c r="Q33" s="106"/>
      <c r="R33" s="106"/>
      <c r="S33" s="106"/>
      <c r="T33" s="172"/>
      <c r="U33" s="172"/>
      <c r="V33" s="172"/>
      <c r="W33" s="172"/>
      <c r="X33" s="172"/>
      <c r="Y33" s="172"/>
      <c r="Z33" s="172"/>
      <c r="AA33" s="172"/>
      <c r="AB33" s="106"/>
      <c r="AC33" s="106"/>
      <c r="AD33" s="106"/>
      <c r="AG33" s="208" t="str">
        <f t="shared" si="0"/>
        <v/>
      </c>
    </row>
    <row r="34" spans="2:33" ht="15" hidden="1" customHeight="1">
      <c r="C34" s="85"/>
      <c r="D34" s="430"/>
      <c r="E34" s="86"/>
      <c r="F34" s="86"/>
      <c r="G34" s="172"/>
      <c r="H34" s="172"/>
      <c r="I34" s="172"/>
      <c r="J34" s="172"/>
      <c r="K34" s="172"/>
      <c r="L34" s="172"/>
      <c r="M34" s="172"/>
      <c r="N34" s="172"/>
      <c r="O34" s="172"/>
      <c r="P34" s="106"/>
      <c r="Q34" s="106"/>
      <c r="R34" s="106"/>
      <c r="S34" s="106"/>
      <c r="T34" s="172"/>
      <c r="U34" s="172"/>
      <c r="V34" s="172"/>
      <c r="W34" s="172"/>
      <c r="X34" s="172"/>
      <c r="Y34" s="172"/>
      <c r="Z34" s="172"/>
      <c r="AA34" s="172"/>
      <c r="AB34" s="106"/>
      <c r="AC34" s="106"/>
      <c r="AD34" s="106"/>
      <c r="AG34" s="208" t="str">
        <f t="shared" si="0"/>
        <v/>
      </c>
    </row>
    <row r="35" spans="2:33" ht="15" hidden="1" customHeight="1">
      <c r="C35" s="85"/>
      <c r="D35" s="430"/>
      <c r="E35" s="86"/>
      <c r="F35" s="86"/>
      <c r="G35" s="172"/>
      <c r="H35" s="172"/>
      <c r="I35" s="172"/>
      <c r="J35" s="172"/>
      <c r="K35" s="172"/>
      <c r="L35" s="172"/>
      <c r="M35" s="172"/>
      <c r="N35" s="172"/>
      <c r="O35" s="172"/>
      <c r="P35" s="106"/>
      <c r="Q35" s="106"/>
      <c r="R35" s="106"/>
      <c r="S35" s="106"/>
      <c r="T35" s="172"/>
      <c r="U35" s="172"/>
      <c r="V35" s="172"/>
      <c r="W35" s="172"/>
      <c r="X35" s="172"/>
      <c r="Y35" s="172"/>
      <c r="Z35" s="172"/>
      <c r="AA35" s="172"/>
      <c r="AB35" s="106"/>
      <c r="AC35" s="106"/>
      <c r="AD35" s="106"/>
      <c r="AG35" s="208" t="str">
        <f t="shared" si="0"/>
        <v/>
      </c>
    </row>
    <row r="36" spans="2:33" ht="15" hidden="1" customHeight="1">
      <c r="C36" s="85"/>
      <c r="D36" s="430"/>
      <c r="E36" s="86"/>
      <c r="F36" s="86"/>
      <c r="G36" s="172"/>
      <c r="H36" s="172"/>
      <c r="I36" s="172"/>
      <c r="J36" s="172"/>
      <c r="K36" s="172"/>
      <c r="L36" s="172"/>
      <c r="M36" s="172"/>
      <c r="N36" s="172"/>
      <c r="O36" s="172"/>
      <c r="P36" s="106"/>
      <c r="Q36" s="106"/>
      <c r="R36" s="106"/>
      <c r="S36" s="106"/>
      <c r="T36" s="172"/>
      <c r="U36" s="172"/>
      <c r="V36" s="172"/>
      <c r="W36" s="172"/>
      <c r="X36" s="172"/>
      <c r="Y36" s="172"/>
      <c r="Z36" s="172"/>
      <c r="AA36" s="172"/>
      <c r="AB36" s="106"/>
      <c r="AC36" s="106"/>
      <c r="AD36" s="106"/>
      <c r="AG36" s="208" t="str">
        <f t="shared" si="0"/>
        <v/>
      </c>
    </row>
    <row r="37" spans="2:33" ht="15" hidden="1" customHeight="1">
      <c r="C37" s="85"/>
      <c r="D37" s="430"/>
      <c r="E37" s="86"/>
      <c r="F37" s="86"/>
      <c r="G37" s="172"/>
      <c r="H37" s="172"/>
      <c r="I37" s="172"/>
      <c r="J37" s="172"/>
      <c r="K37" s="172"/>
      <c r="L37" s="172"/>
      <c r="M37" s="172"/>
      <c r="N37" s="172"/>
      <c r="O37" s="172"/>
      <c r="P37" s="106"/>
      <c r="Q37" s="106"/>
      <c r="R37" s="106"/>
      <c r="S37" s="106"/>
      <c r="T37" s="172"/>
      <c r="U37" s="172"/>
      <c r="V37" s="172"/>
      <c r="W37" s="172"/>
      <c r="X37" s="172"/>
      <c r="Y37" s="172"/>
      <c r="Z37" s="172"/>
      <c r="AA37" s="172"/>
      <c r="AB37" s="106"/>
      <c r="AC37" s="106"/>
      <c r="AD37" s="106"/>
      <c r="AG37" s="208" t="str">
        <f t="shared" si="0"/>
        <v/>
      </c>
    </row>
    <row r="38" spans="2:33" ht="15" hidden="1" customHeight="1">
      <c r="C38" s="85"/>
      <c r="D38" s="430"/>
      <c r="E38" s="86"/>
      <c r="F38" s="86"/>
      <c r="G38" s="172"/>
      <c r="H38" s="172"/>
      <c r="I38" s="172"/>
      <c r="J38" s="172"/>
      <c r="K38" s="172"/>
      <c r="L38" s="172"/>
      <c r="M38" s="172"/>
      <c r="N38" s="172"/>
      <c r="O38" s="172"/>
      <c r="P38" s="106"/>
      <c r="Q38" s="106"/>
      <c r="R38" s="106"/>
      <c r="S38" s="106"/>
      <c r="T38" s="172"/>
      <c r="U38" s="172"/>
      <c r="V38" s="172"/>
      <c r="W38" s="172"/>
      <c r="X38" s="172"/>
      <c r="Y38" s="172"/>
      <c r="Z38" s="172"/>
      <c r="AA38" s="172"/>
      <c r="AB38" s="106"/>
      <c r="AC38" s="106"/>
      <c r="AD38" s="106"/>
      <c r="AG38" s="208" t="str">
        <f t="shared" si="0"/>
        <v/>
      </c>
    </row>
    <row r="39" spans="2:33" ht="15" hidden="1" customHeight="1">
      <c r="C39" s="85"/>
      <c r="D39" s="430"/>
      <c r="E39" s="86"/>
      <c r="F39" s="86"/>
      <c r="G39" s="172"/>
      <c r="H39" s="172"/>
      <c r="I39" s="172"/>
      <c r="J39" s="172"/>
      <c r="K39" s="172"/>
      <c r="L39" s="172"/>
      <c r="M39" s="172"/>
      <c r="N39" s="172"/>
      <c r="O39" s="172"/>
      <c r="P39" s="106"/>
      <c r="Q39" s="106"/>
      <c r="R39" s="106"/>
      <c r="S39" s="106"/>
      <c r="T39" s="172"/>
      <c r="U39" s="172"/>
      <c r="V39" s="172"/>
      <c r="W39" s="172"/>
      <c r="X39" s="172"/>
      <c r="Y39" s="172"/>
      <c r="Z39" s="172"/>
      <c r="AA39" s="172"/>
      <c r="AB39" s="106"/>
      <c r="AC39" s="106"/>
      <c r="AD39" s="106"/>
      <c r="AG39" s="208" t="str">
        <f t="shared" si="0"/>
        <v/>
      </c>
    </row>
    <row r="40" spans="2:33" ht="15" hidden="1" customHeight="1">
      <c r="C40" s="85"/>
      <c r="D40" s="430"/>
      <c r="E40" s="86"/>
      <c r="F40" s="86"/>
      <c r="G40" s="172"/>
      <c r="H40" s="172"/>
      <c r="I40" s="172"/>
      <c r="J40" s="172"/>
      <c r="K40" s="172"/>
      <c r="L40" s="172"/>
      <c r="M40" s="172"/>
      <c r="N40" s="172"/>
      <c r="O40" s="172"/>
      <c r="P40" s="106"/>
      <c r="Q40" s="106"/>
      <c r="R40" s="106"/>
      <c r="S40" s="106"/>
      <c r="T40" s="172"/>
      <c r="U40" s="172"/>
      <c r="V40" s="172"/>
      <c r="W40" s="172"/>
      <c r="X40" s="172"/>
      <c r="Y40" s="172"/>
      <c r="Z40" s="172"/>
      <c r="AA40" s="172"/>
      <c r="AB40" s="106"/>
      <c r="AC40" s="106"/>
      <c r="AD40" s="106"/>
      <c r="AG40" s="208" t="str">
        <f t="shared" si="0"/>
        <v/>
      </c>
    </row>
    <row r="41" spans="2:33" ht="15" hidden="1" customHeight="1">
      <c r="C41" s="85"/>
      <c r="D41" s="430"/>
      <c r="E41" s="86"/>
      <c r="F41" s="86"/>
      <c r="G41" s="172"/>
      <c r="H41" s="172"/>
      <c r="I41" s="172"/>
      <c r="J41" s="172"/>
      <c r="K41" s="172"/>
      <c r="L41" s="172"/>
      <c r="M41" s="172"/>
      <c r="N41" s="172"/>
      <c r="O41" s="172"/>
      <c r="P41" s="106"/>
      <c r="Q41" s="106"/>
      <c r="R41" s="106"/>
      <c r="S41" s="106"/>
      <c r="T41" s="172"/>
      <c r="U41" s="172"/>
      <c r="V41" s="172"/>
      <c r="W41" s="172"/>
      <c r="X41" s="172"/>
      <c r="Y41" s="172"/>
      <c r="Z41" s="172"/>
      <c r="AA41" s="172"/>
      <c r="AB41" s="106"/>
      <c r="AC41" s="106"/>
      <c r="AD41" s="106"/>
      <c r="AG41" s="208" t="str">
        <f t="shared" si="0"/>
        <v/>
      </c>
    </row>
    <row r="42" spans="2:33" ht="15" hidden="1" customHeight="1">
      <c r="C42" s="85"/>
      <c r="D42" s="430"/>
      <c r="E42" s="86"/>
      <c r="F42" s="86"/>
      <c r="G42" s="172"/>
      <c r="H42" s="172"/>
      <c r="I42" s="172"/>
      <c r="J42" s="172"/>
      <c r="K42" s="172"/>
      <c r="L42" s="172"/>
      <c r="M42" s="172"/>
      <c r="N42" s="172"/>
      <c r="O42" s="172"/>
      <c r="P42" s="106"/>
      <c r="Q42" s="106"/>
      <c r="R42" s="106"/>
      <c r="S42" s="106"/>
      <c r="T42" s="172"/>
      <c r="U42" s="172"/>
      <c r="V42" s="172"/>
      <c r="W42" s="172"/>
      <c r="X42" s="172"/>
      <c r="Y42" s="172"/>
      <c r="Z42" s="172"/>
      <c r="AA42" s="172"/>
      <c r="AB42" s="106"/>
      <c r="AC42" s="106"/>
      <c r="AD42" s="106"/>
      <c r="AG42" s="208" t="str">
        <f t="shared" si="0"/>
        <v/>
      </c>
    </row>
    <row r="43" spans="2:33" ht="15" hidden="1" customHeight="1">
      <c r="C43" s="85"/>
      <c r="D43" s="430"/>
      <c r="E43" s="86"/>
      <c r="F43" s="86"/>
      <c r="G43" s="172"/>
      <c r="H43" s="172"/>
      <c r="I43" s="172"/>
      <c r="J43" s="172"/>
      <c r="K43" s="172"/>
      <c r="L43" s="172"/>
      <c r="M43" s="172"/>
      <c r="N43" s="172"/>
      <c r="O43" s="172"/>
      <c r="P43" s="106"/>
      <c r="Q43" s="106"/>
      <c r="R43" s="106"/>
      <c r="S43" s="106"/>
      <c r="T43" s="172"/>
      <c r="U43" s="172"/>
      <c r="V43" s="172"/>
      <c r="W43" s="172"/>
      <c r="X43" s="172"/>
      <c r="Y43" s="172"/>
      <c r="Z43" s="172"/>
      <c r="AA43" s="172"/>
      <c r="AB43" s="106"/>
      <c r="AC43" s="106"/>
      <c r="AD43" s="106"/>
      <c r="AG43" s="208" t="str">
        <f t="shared" si="0"/>
        <v/>
      </c>
    </row>
    <row r="44" spans="2:33" ht="15">
      <c r="C44" s="85"/>
      <c r="D44" s="430"/>
      <c r="E44" s="86"/>
      <c r="F44" s="86"/>
      <c r="G44" s="172"/>
      <c r="H44" s="172"/>
      <c r="I44" s="172"/>
      <c r="J44" s="172"/>
      <c r="K44" s="172"/>
      <c r="L44" s="172"/>
      <c r="M44" s="172"/>
      <c r="N44" s="172"/>
      <c r="O44" s="172"/>
      <c r="P44" s="106"/>
      <c r="Q44" s="106"/>
      <c r="R44" s="106"/>
      <c r="S44" s="106"/>
      <c r="T44" s="172"/>
      <c r="U44" s="172"/>
      <c r="V44" s="172"/>
      <c r="W44" s="172"/>
      <c r="X44" s="172"/>
      <c r="Y44" s="172"/>
      <c r="Z44" s="172"/>
      <c r="AA44" s="172"/>
      <c r="AB44" s="106"/>
      <c r="AC44" s="106"/>
      <c r="AD44" s="106"/>
      <c r="AG44" s="208" t="str">
        <f t="shared" si="0"/>
        <v/>
      </c>
    </row>
    <row r="45" spans="2:33" ht="15">
      <c r="C45" s="165"/>
      <c r="D45" s="431"/>
      <c r="E45" s="166"/>
      <c r="F45" s="166"/>
      <c r="G45" s="173"/>
      <c r="H45" s="173"/>
      <c r="I45" s="173"/>
      <c r="J45" s="173"/>
      <c r="K45" s="173"/>
      <c r="L45" s="173"/>
      <c r="M45" s="173"/>
      <c r="N45" s="173"/>
      <c r="O45" s="173"/>
      <c r="P45" s="109"/>
      <c r="Q45" s="109"/>
      <c r="R45" s="109"/>
      <c r="S45" s="109"/>
      <c r="T45" s="173"/>
      <c r="U45" s="173"/>
      <c r="V45" s="173"/>
      <c r="W45" s="173"/>
      <c r="X45" s="173"/>
      <c r="Y45" s="173"/>
      <c r="Z45" s="173"/>
      <c r="AA45" s="173"/>
      <c r="AB45" s="109"/>
      <c r="AC45" s="109"/>
      <c r="AD45" s="109"/>
      <c r="AG45" s="208" t="str">
        <f t="shared" si="0"/>
        <v/>
      </c>
    </row>
    <row r="46" spans="2:33" ht="7.5" customHeight="1"/>
    <row r="47" spans="2:33" ht="12" customHeight="1">
      <c r="B47" s="164"/>
    </row>
    <row r="48" spans="2:33" ht="43.5" customHeight="1"/>
  </sheetData>
  <sortState ref="A16:AM49">
    <sortCondition ref="AF16:AF49"/>
  </sortState>
  <mergeCells count="24">
    <mergeCell ref="U13:U14"/>
    <mergeCell ref="K12:K15"/>
    <mergeCell ref="T12:T15"/>
    <mergeCell ref="M12:M15"/>
    <mergeCell ref="J9:Q10"/>
    <mergeCell ref="J12:J15"/>
    <mergeCell ref="N12:R13"/>
    <mergeCell ref="N14:N15"/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</mergeCells>
  <phoneticPr fontId="10" type="noConversion"/>
  <conditionalFormatting sqref="T16:T25">
    <cfRule type="expression" dxfId="16" priority="12">
      <formula>AND(T16&gt;0,W16=0)</formula>
    </cfRule>
  </conditionalFormatting>
  <conditionalFormatting sqref="T20">
    <cfRule type="expression" dxfId="15" priority="7">
      <formula>AND(T20&gt;0,W20=0)</formula>
    </cfRule>
  </conditionalFormatting>
  <conditionalFormatting sqref="W20">
    <cfRule type="expression" dxfId="14" priority="6">
      <formula>AND(W20&gt;0,Z20=0)</formula>
    </cfRule>
  </conditionalFormatting>
  <conditionalFormatting sqref="W20">
    <cfRule type="expression" dxfId="13" priority="5">
      <formula>AND(W20&gt;0,Z20=0)</formula>
    </cfRule>
  </conditionalFormatting>
  <conditionalFormatting sqref="T16:T25">
    <cfRule type="expression" dxfId="12" priority="4">
      <formula>AND(T16&gt;0,W16=0)</formula>
    </cfRule>
  </conditionalFormatting>
  <conditionalFormatting sqref="T20">
    <cfRule type="expression" dxfId="11" priority="3">
      <formula>AND(T20&gt;0,W20=0)</formula>
    </cfRule>
  </conditionalFormatting>
  <conditionalFormatting sqref="W20">
    <cfRule type="expression" dxfId="10" priority="2">
      <formula>AND(W20&gt;0,Z20=0)</formula>
    </cfRule>
  </conditionalFormatting>
  <conditionalFormatting sqref="W20">
    <cfRule type="expression" dxfId="9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3"/>
  <sheetViews>
    <sheetView showGridLines="0" showZeros="0" showOutlineSymbols="0" view="pageBreakPreview" topLeftCell="A4" zoomScaleSheetLayoutView="100" workbookViewId="0">
      <selection activeCell="G23" sqref="G23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8554687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8.85546875" customWidth="1"/>
    <col min="18" max="19" width="8.85546875" hidden="1" customWidth="1"/>
    <col min="20" max="20" width="6.5703125" customWidth="1"/>
    <col min="21" max="21" width="6.28515625" customWidth="1"/>
    <col min="22" max="22" width="9" customWidth="1"/>
  </cols>
  <sheetData>
    <row r="1" spans="1:22" ht="15" hidden="1" customHeight="1"/>
    <row r="2" spans="1:22" ht="21">
      <c r="A2" s="702" t="str">
        <f>封面!$A$4</f>
        <v>彰化縣地方教育發展基金－彰化縣秀水鄉馬興國民小學</v>
      </c>
      <c r="B2" s="702"/>
      <c r="C2" s="702"/>
      <c r="D2" s="702"/>
      <c r="E2" s="702"/>
      <c r="F2" s="702"/>
      <c r="G2" s="702"/>
      <c r="H2" s="702"/>
      <c r="I2" s="702"/>
      <c r="J2" s="702"/>
      <c r="K2" s="702"/>
      <c r="L2" s="702"/>
      <c r="M2" s="702"/>
      <c r="N2" s="702"/>
      <c r="O2" s="702"/>
      <c r="P2" s="702"/>
      <c r="Q2" s="702"/>
      <c r="R2" s="702"/>
      <c r="S2" s="702"/>
      <c r="T2" s="702"/>
      <c r="U2" s="702"/>
      <c r="V2" s="702"/>
    </row>
    <row r="3" spans="1:22" ht="21">
      <c r="A3" s="704" t="s">
        <v>0</v>
      </c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</row>
    <row r="4" spans="1:22" ht="19.5">
      <c r="A4" s="705" t="str">
        <f>封面!$E$10&amp;封面!$H$10&amp;封面!$I$10&amp;封面!$J$10&amp;封面!$K$10&amp;封面!$O$10&amp;"日"</f>
        <v>中華民國113年1月31日</v>
      </c>
      <c r="B4" s="705"/>
      <c r="C4" s="705"/>
      <c r="D4" s="705"/>
      <c r="E4" s="705"/>
      <c r="F4" s="705"/>
      <c r="G4" s="705"/>
      <c r="H4" s="705"/>
      <c r="I4" s="705"/>
      <c r="J4" s="705"/>
      <c r="K4" s="705"/>
      <c r="L4" s="705"/>
      <c r="M4" s="705"/>
      <c r="N4" s="705"/>
      <c r="O4" s="705"/>
      <c r="P4" s="705"/>
      <c r="Q4" s="705"/>
      <c r="R4" s="705"/>
      <c r="S4" s="705"/>
      <c r="T4" s="705"/>
      <c r="U4" s="705"/>
      <c r="V4" s="705"/>
    </row>
    <row r="5" spans="1:22" ht="2.25" customHeight="1"/>
    <row r="6" spans="1:22" ht="15.75" customHeight="1">
      <c r="A6" s="703" t="s">
        <v>1</v>
      </c>
      <c r="B6" s="703"/>
      <c r="C6" s="703"/>
      <c r="D6" s="703"/>
      <c r="E6" s="703"/>
      <c r="F6" s="703"/>
      <c r="G6" s="703"/>
      <c r="H6" s="703"/>
      <c r="I6" s="703"/>
      <c r="J6" s="703"/>
      <c r="K6" s="703"/>
      <c r="L6" s="703"/>
      <c r="M6" s="703"/>
      <c r="N6" s="703"/>
      <c r="O6" s="703"/>
      <c r="P6" s="703"/>
      <c r="Q6" s="703"/>
      <c r="R6" s="703"/>
      <c r="S6" s="703"/>
      <c r="T6" s="703"/>
      <c r="U6" s="703"/>
      <c r="V6" s="703"/>
    </row>
    <row r="7" spans="1:22" ht="2.25" customHeight="1">
      <c r="A7" s="2"/>
      <c r="B7" s="2"/>
      <c r="C7" s="2"/>
      <c r="D7" s="2"/>
      <c r="E7" s="2"/>
      <c r="F7" s="2"/>
      <c r="G7" s="335"/>
      <c r="K7" s="2"/>
      <c r="L7" s="2"/>
      <c r="M7" s="2"/>
      <c r="N7" s="2"/>
      <c r="O7" s="2"/>
      <c r="P7" s="2"/>
      <c r="Q7" s="2"/>
      <c r="R7" s="335"/>
      <c r="S7" s="335"/>
      <c r="T7" s="335"/>
    </row>
    <row r="8" spans="1:22" ht="4.5" hidden="1" customHeight="1">
      <c r="A8" s="693" t="s">
        <v>2</v>
      </c>
      <c r="B8" s="693"/>
      <c r="C8" s="693"/>
      <c r="D8" s="693"/>
      <c r="E8" s="693"/>
      <c r="F8" s="693"/>
      <c r="G8" s="325"/>
      <c r="H8" s="1"/>
      <c r="I8" s="1"/>
      <c r="J8" s="448"/>
      <c r="K8" s="706" t="s">
        <v>3</v>
      </c>
      <c r="L8" s="706"/>
      <c r="M8" s="706"/>
      <c r="N8" s="706"/>
      <c r="O8" s="706"/>
      <c r="P8" s="706"/>
      <c r="Q8" s="707"/>
      <c r="R8" s="325"/>
      <c r="S8" s="325"/>
      <c r="T8" s="325"/>
      <c r="U8" s="1"/>
      <c r="V8" s="1"/>
    </row>
    <row r="9" spans="1:22" ht="18" customHeight="1">
      <c r="A9" s="693"/>
      <c r="B9" s="693"/>
      <c r="C9" s="693"/>
      <c r="D9" s="693"/>
      <c r="E9" s="693"/>
      <c r="F9" s="693"/>
      <c r="G9" s="325"/>
      <c r="H9" s="693" t="s">
        <v>4</v>
      </c>
      <c r="I9" s="693" t="s">
        <v>5</v>
      </c>
      <c r="J9" s="448"/>
      <c r="K9" s="706"/>
      <c r="L9" s="706"/>
      <c r="M9" s="706"/>
      <c r="N9" s="706"/>
      <c r="O9" s="706"/>
      <c r="P9" s="706"/>
      <c r="Q9" s="707"/>
      <c r="R9" s="325"/>
      <c r="S9" s="325"/>
      <c r="T9" s="689" t="s">
        <v>4</v>
      </c>
      <c r="U9" s="690"/>
      <c r="V9" s="693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693"/>
      <c r="I10" s="693"/>
      <c r="J10" s="1"/>
      <c r="K10" s="1"/>
      <c r="L10" s="1"/>
      <c r="M10" s="1"/>
      <c r="N10" s="1"/>
      <c r="O10" s="1"/>
      <c r="P10" s="1"/>
      <c r="Q10" s="1"/>
      <c r="R10" s="1"/>
      <c r="S10" s="1"/>
      <c r="T10" s="691"/>
      <c r="U10" s="691"/>
      <c r="V10" s="693"/>
    </row>
    <row r="11" spans="1:22" ht="18" customHeight="1">
      <c r="A11" s="693" t="s">
        <v>6</v>
      </c>
      <c r="B11" s="693"/>
      <c r="C11" s="693"/>
      <c r="D11" s="693"/>
      <c r="E11" s="693"/>
      <c r="F11" s="693" t="s">
        <v>7</v>
      </c>
      <c r="G11" s="325"/>
      <c r="H11" s="693"/>
      <c r="I11" s="693"/>
      <c r="J11" s="448"/>
      <c r="K11" s="706" t="s">
        <v>6</v>
      </c>
      <c r="L11" s="706"/>
      <c r="M11" s="706"/>
      <c r="N11" s="706"/>
      <c r="O11" s="707"/>
      <c r="P11" s="325"/>
      <c r="Q11" s="693" t="s">
        <v>7</v>
      </c>
      <c r="R11" s="325"/>
      <c r="S11" s="325"/>
      <c r="T11" s="692"/>
      <c r="U11" s="692"/>
      <c r="V11" s="693"/>
    </row>
    <row r="12" spans="1:22" ht="14.25" hidden="1">
      <c r="A12" s="693"/>
      <c r="B12" s="693"/>
      <c r="C12" s="693"/>
      <c r="D12" s="693"/>
      <c r="E12" s="693"/>
      <c r="F12" s="693"/>
      <c r="G12" s="325"/>
      <c r="H12" s="1"/>
      <c r="I12" s="1"/>
      <c r="J12" s="448"/>
      <c r="K12" s="706"/>
      <c r="L12" s="706"/>
      <c r="M12" s="706"/>
      <c r="N12" s="706"/>
      <c r="O12" s="707"/>
      <c r="P12" s="325"/>
      <c r="Q12" s="693"/>
      <c r="R12" s="325"/>
      <c r="S12" s="325"/>
      <c r="T12" s="325"/>
      <c r="U12" s="1"/>
      <c r="V12" s="1"/>
    </row>
    <row r="13" spans="1:22" ht="14.25">
      <c r="A13" s="120" t="s">
        <v>464</v>
      </c>
      <c r="B13" s="121"/>
      <c r="C13" s="387"/>
      <c r="D13" s="387"/>
      <c r="E13" s="388"/>
      <c r="F13" s="123" t="s">
        <v>465</v>
      </c>
      <c r="G13" s="123"/>
      <c r="H13" s="124">
        <v>72233691</v>
      </c>
      <c r="I13" s="322">
        <v>100</v>
      </c>
      <c r="J13" s="449" t="s">
        <v>508</v>
      </c>
      <c r="K13" s="121"/>
      <c r="L13" s="121"/>
      <c r="M13" s="121"/>
      <c r="N13" s="121"/>
      <c r="O13" s="122"/>
      <c r="P13" s="122"/>
      <c r="Q13" s="125" t="s">
        <v>520</v>
      </c>
      <c r="R13" s="123"/>
      <c r="S13" s="123"/>
      <c r="T13" s="700">
        <f>T14+T18</f>
        <v>7436766</v>
      </c>
      <c r="U13" s="701"/>
      <c r="V13" s="595">
        <f>T13/$T$27*100</f>
        <v>10.295425717619775</v>
      </c>
    </row>
    <row r="14" spans="1:22" ht="14.25">
      <c r="A14" s="334"/>
      <c r="B14" s="127" t="s">
        <v>466</v>
      </c>
      <c r="C14" s="369"/>
      <c r="D14" s="369"/>
      <c r="E14" s="370"/>
      <c r="F14" s="133" t="s">
        <v>467</v>
      </c>
      <c r="G14" s="133"/>
      <c r="H14" s="130">
        <v>10006139</v>
      </c>
      <c r="I14" s="323">
        <v>13.852454251576317</v>
      </c>
      <c r="J14" s="134"/>
      <c r="K14" s="127" t="s">
        <v>509</v>
      </c>
      <c r="L14" s="127"/>
      <c r="M14" s="127"/>
      <c r="N14" s="127"/>
      <c r="O14" s="128"/>
      <c r="P14" s="128"/>
      <c r="Q14" s="131" t="s">
        <v>521</v>
      </c>
      <c r="R14" s="133"/>
      <c r="S14" s="133"/>
      <c r="T14" s="698">
        <f>T15</f>
        <v>4652909</v>
      </c>
      <c r="U14" s="699"/>
      <c r="V14" s="596">
        <f t="shared" ref="V14:V26" si="0">T14/$T$27*100</f>
        <v>6.4414664896467775</v>
      </c>
    </row>
    <row r="15" spans="1:22" ht="14.25">
      <c r="A15" s="334"/>
      <c r="B15" s="127"/>
      <c r="C15" s="369" t="s">
        <v>468</v>
      </c>
      <c r="D15" s="369"/>
      <c r="E15" s="370"/>
      <c r="F15" s="133" t="s">
        <v>469</v>
      </c>
      <c r="G15" s="133"/>
      <c r="H15" s="130">
        <v>9964571</v>
      </c>
      <c r="I15" s="323">
        <v>13.794907697572867</v>
      </c>
      <c r="J15" s="134"/>
      <c r="K15" s="127"/>
      <c r="L15" s="127" t="s">
        <v>510</v>
      </c>
      <c r="M15" s="127"/>
      <c r="N15" s="127"/>
      <c r="O15" s="128"/>
      <c r="P15" s="128"/>
      <c r="Q15" s="131" t="s">
        <v>522</v>
      </c>
      <c r="R15" s="133"/>
      <c r="S15" s="133"/>
      <c r="T15" s="698">
        <f>SUM(T16:U17)</f>
        <v>4652909</v>
      </c>
      <c r="U15" s="699"/>
      <c r="V15" s="596">
        <f t="shared" si="0"/>
        <v>6.4414664896467775</v>
      </c>
    </row>
    <row r="16" spans="1:22" ht="14.25">
      <c r="A16" s="334"/>
      <c r="B16" s="127"/>
      <c r="C16" s="369"/>
      <c r="D16" s="369" t="s">
        <v>470</v>
      </c>
      <c r="E16" s="370"/>
      <c r="F16" s="133" t="s">
        <v>471</v>
      </c>
      <c r="G16" s="133"/>
      <c r="H16" s="130">
        <v>9924571</v>
      </c>
      <c r="I16" s="323">
        <v>13.739531875783559</v>
      </c>
      <c r="J16" s="134"/>
      <c r="K16" s="127"/>
      <c r="L16" s="127"/>
      <c r="M16" s="127" t="s">
        <v>511</v>
      </c>
      <c r="N16" s="127"/>
      <c r="O16" s="128"/>
      <c r="P16" s="128"/>
      <c r="Q16" s="131" t="s">
        <v>523</v>
      </c>
      <c r="R16" s="133"/>
      <c r="S16" s="133"/>
      <c r="T16" s="698">
        <v>4652909</v>
      </c>
      <c r="U16" s="699"/>
      <c r="V16" s="596">
        <f t="shared" si="0"/>
        <v>6.4414664896467775</v>
      </c>
    </row>
    <row r="17" spans="1:22" ht="14.25">
      <c r="A17" s="334"/>
      <c r="B17" s="127"/>
      <c r="C17" s="369"/>
      <c r="D17" s="369"/>
      <c r="E17" s="370" t="s">
        <v>472</v>
      </c>
      <c r="F17" s="133" t="s">
        <v>473</v>
      </c>
      <c r="G17" s="133"/>
      <c r="H17" s="130">
        <v>2529373</v>
      </c>
      <c r="I17" s="323">
        <v>3.5016527121672349</v>
      </c>
      <c r="J17" s="134"/>
      <c r="K17" s="127"/>
      <c r="L17" s="127"/>
      <c r="M17" s="127" t="s">
        <v>512</v>
      </c>
      <c r="N17" s="127"/>
      <c r="O17" s="128"/>
      <c r="P17" s="128"/>
      <c r="Q17" s="131" t="s">
        <v>524</v>
      </c>
      <c r="R17" s="133"/>
      <c r="S17" s="133"/>
      <c r="T17" s="698">
        <v>0</v>
      </c>
      <c r="U17" s="699"/>
      <c r="V17" s="596">
        <f t="shared" si="0"/>
        <v>0</v>
      </c>
    </row>
    <row r="18" spans="1:22" ht="14.25">
      <c r="A18" s="334"/>
      <c r="B18" s="127"/>
      <c r="C18" s="369"/>
      <c r="D18" s="369"/>
      <c r="E18" s="370" t="s">
        <v>474</v>
      </c>
      <c r="F18" s="133" t="s">
        <v>475</v>
      </c>
      <c r="G18" s="133"/>
      <c r="H18" s="130">
        <v>7395198</v>
      </c>
      <c r="I18" s="323">
        <v>10.237879163616324</v>
      </c>
      <c r="J18" s="134"/>
      <c r="K18" s="127" t="s">
        <v>513</v>
      </c>
      <c r="L18" s="127"/>
      <c r="M18" s="127"/>
      <c r="N18" s="127"/>
      <c r="O18" s="128"/>
      <c r="P18" s="128"/>
      <c r="Q18" s="131" t="s">
        <v>525</v>
      </c>
      <c r="R18" s="133"/>
      <c r="S18" s="133"/>
      <c r="T18" s="698">
        <f>T19</f>
        <v>2783857</v>
      </c>
      <c r="U18" s="699"/>
      <c r="V18" s="596">
        <f t="shared" si="0"/>
        <v>3.8539592279729966</v>
      </c>
    </row>
    <row r="19" spans="1:22" ht="14.25">
      <c r="A19" s="334"/>
      <c r="B19" s="127"/>
      <c r="C19" s="369"/>
      <c r="D19" s="369" t="s">
        <v>476</v>
      </c>
      <c r="E19" s="370"/>
      <c r="F19" s="133" t="s">
        <v>477</v>
      </c>
      <c r="G19" s="133"/>
      <c r="H19" s="130">
        <v>40000</v>
      </c>
      <c r="I19" s="323">
        <v>5.5375821789308811E-2</v>
      </c>
      <c r="J19" s="134"/>
      <c r="K19" s="127"/>
      <c r="L19" s="127" t="s">
        <v>514</v>
      </c>
      <c r="M19" s="127"/>
      <c r="N19" s="127"/>
      <c r="O19" s="128"/>
      <c r="P19" s="128"/>
      <c r="Q19" s="131" t="s">
        <v>526</v>
      </c>
      <c r="R19" s="133"/>
      <c r="S19" s="133"/>
      <c r="T19" s="698">
        <f>T20</f>
        <v>2783857</v>
      </c>
      <c r="U19" s="699"/>
      <c r="V19" s="596">
        <f t="shared" si="0"/>
        <v>3.8539592279729966</v>
      </c>
    </row>
    <row r="20" spans="1:22" ht="14.25">
      <c r="A20" s="334"/>
      <c r="B20" s="127"/>
      <c r="C20" s="369" t="s">
        <v>478</v>
      </c>
      <c r="D20" s="369"/>
      <c r="E20" s="370"/>
      <c r="F20" s="133" t="s">
        <v>479</v>
      </c>
      <c r="G20" s="133"/>
      <c r="H20" s="130">
        <v>41568</v>
      </c>
      <c r="I20" s="323">
        <v>5.7546554003449719E-2</v>
      </c>
      <c r="J20" s="134"/>
      <c r="K20" s="127"/>
      <c r="L20" s="127"/>
      <c r="M20" s="127" t="s">
        <v>515</v>
      </c>
      <c r="N20" s="127"/>
      <c r="O20" s="128"/>
      <c r="P20" s="128"/>
      <c r="Q20" s="131" t="s">
        <v>527</v>
      </c>
      <c r="R20" s="133"/>
      <c r="S20" s="133"/>
      <c r="T20" s="698">
        <v>2783857</v>
      </c>
      <c r="U20" s="699"/>
      <c r="V20" s="596">
        <f t="shared" si="0"/>
        <v>3.8539592279729966</v>
      </c>
    </row>
    <row r="21" spans="1:22" ht="14.25">
      <c r="A21" s="334"/>
      <c r="B21" s="127"/>
      <c r="C21" s="369"/>
      <c r="D21" s="369" t="s">
        <v>480</v>
      </c>
      <c r="E21" s="370"/>
      <c r="F21" s="133" t="s">
        <v>481</v>
      </c>
      <c r="G21" s="133"/>
      <c r="H21" s="130">
        <v>41568</v>
      </c>
      <c r="I21" s="323">
        <v>5.7546554003449719E-2</v>
      </c>
      <c r="J21" s="134" t="s">
        <v>516</v>
      </c>
      <c r="K21" s="127"/>
      <c r="L21" s="127"/>
      <c r="M21" s="127"/>
      <c r="N21" s="127"/>
      <c r="O21" s="128"/>
      <c r="P21" s="128"/>
      <c r="Q21" s="131" t="s">
        <v>528</v>
      </c>
      <c r="R21" s="133"/>
      <c r="S21" s="133"/>
      <c r="T21" s="698">
        <f>T22</f>
        <v>64796925</v>
      </c>
      <c r="U21" s="699"/>
      <c r="V21" s="596">
        <f t="shared" si="0"/>
        <v>89.704574282380221</v>
      </c>
    </row>
    <row r="22" spans="1:22" ht="14.25">
      <c r="A22" s="334"/>
      <c r="B22" s="127" t="s">
        <v>482</v>
      </c>
      <c r="C22" s="127"/>
      <c r="D22" s="127"/>
      <c r="E22" s="128"/>
      <c r="F22" s="133" t="s">
        <v>483</v>
      </c>
      <c r="G22" s="133"/>
      <c r="H22" s="130">
        <v>62227552</v>
      </c>
      <c r="I22" s="323">
        <v>86.147545748423667</v>
      </c>
      <c r="J22" s="134"/>
      <c r="K22" s="127" t="s">
        <v>516</v>
      </c>
      <c r="L22" s="127"/>
      <c r="M22" s="127"/>
      <c r="N22" s="127"/>
      <c r="O22" s="128"/>
      <c r="P22" s="128"/>
      <c r="Q22" s="131" t="s">
        <v>529</v>
      </c>
      <c r="R22" s="133"/>
      <c r="S22" s="133"/>
      <c r="T22" s="698">
        <f>T23</f>
        <v>64796925</v>
      </c>
      <c r="U22" s="699"/>
      <c r="V22" s="596">
        <f t="shared" si="0"/>
        <v>89.704574282380221</v>
      </c>
    </row>
    <row r="23" spans="1:22" ht="15">
      <c r="A23" s="126"/>
      <c r="B23" s="127"/>
      <c r="C23" s="127" t="s">
        <v>44</v>
      </c>
      <c r="D23" s="127"/>
      <c r="E23" s="128"/>
      <c r="F23" s="129" t="s">
        <v>484</v>
      </c>
      <c r="G23" s="129"/>
      <c r="H23" s="130">
        <v>11027358</v>
      </c>
      <c r="I23" s="323">
        <v>15.26622528537272</v>
      </c>
      <c r="J23" s="134"/>
      <c r="K23" s="132"/>
      <c r="L23" s="127" t="s">
        <v>516</v>
      </c>
      <c r="M23" s="127"/>
      <c r="N23" s="127"/>
      <c r="O23" s="128"/>
      <c r="P23" s="128"/>
      <c r="Q23" s="131" t="s">
        <v>530</v>
      </c>
      <c r="R23" s="133"/>
      <c r="S23" s="133"/>
      <c r="T23" s="698">
        <f>SUM(T24:U26)</f>
        <v>64796925</v>
      </c>
      <c r="U23" s="699"/>
      <c r="V23" s="596">
        <f t="shared" si="0"/>
        <v>89.704574282380221</v>
      </c>
    </row>
    <row r="24" spans="1:22" ht="15">
      <c r="A24" s="126"/>
      <c r="B24" s="127"/>
      <c r="C24" s="127"/>
      <c r="D24" s="127" t="s">
        <v>44</v>
      </c>
      <c r="E24" s="128"/>
      <c r="F24" s="129" t="s">
        <v>485</v>
      </c>
      <c r="G24" s="129"/>
      <c r="H24" s="130">
        <v>11027358</v>
      </c>
      <c r="I24" s="323">
        <v>15.26622528537272</v>
      </c>
      <c r="J24" s="134"/>
      <c r="K24" s="132"/>
      <c r="L24" s="127"/>
      <c r="M24" s="127" t="s">
        <v>517</v>
      </c>
      <c r="N24" s="127"/>
      <c r="O24" s="128"/>
      <c r="P24" s="128"/>
      <c r="Q24" s="131" t="s">
        <v>531</v>
      </c>
      <c r="R24" s="133"/>
      <c r="S24" s="133"/>
      <c r="T24" s="698">
        <v>65820431</v>
      </c>
      <c r="U24" s="699"/>
      <c r="V24" s="596">
        <f t="shared" si="0"/>
        <v>91.121511428787443</v>
      </c>
    </row>
    <row r="25" spans="1:22" ht="15">
      <c r="A25" s="126"/>
      <c r="B25" s="127"/>
      <c r="C25" s="127" t="s">
        <v>45</v>
      </c>
      <c r="D25" s="127"/>
      <c r="E25" s="128"/>
      <c r="F25" s="129" t="s">
        <v>486</v>
      </c>
      <c r="G25" s="129"/>
      <c r="H25" s="130">
        <v>2314878</v>
      </c>
      <c r="I25" s="323">
        <v>3.2047067897997903</v>
      </c>
      <c r="J25" s="134"/>
      <c r="K25" s="132"/>
      <c r="L25" s="127"/>
      <c r="M25" s="127" t="s">
        <v>518</v>
      </c>
      <c r="N25" s="127"/>
      <c r="O25" s="128"/>
      <c r="P25" s="128"/>
      <c r="Q25" s="131" t="s">
        <v>532</v>
      </c>
      <c r="R25" s="133"/>
      <c r="S25" s="133"/>
      <c r="T25" s="698">
        <v>-1023506</v>
      </c>
      <c r="U25" s="699"/>
      <c r="V25" s="596">
        <f t="shared" si="0"/>
        <v>-1.4169371464072078</v>
      </c>
    </row>
    <row r="26" spans="1:22" ht="15">
      <c r="A26" s="126"/>
      <c r="B26" s="127"/>
      <c r="C26" s="127"/>
      <c r="D26" s="127" t="s">
        <v>45</v>
      </c>
      <c r="E26" s="128"/>
      <c r="F26" s="129" t="s">
        <v>487</v>
      </c>
      <c r="G26" s="129"/>
      <c r="H26" s="130">
        <v>5137300</v>
      </c>
      <c r="I26" s="323">
        <v>7.112055231955404</v>
      </c>
      <c r="J26" s="134"/>
      <c r="K26" s="132"/>
      <c r="L26" s="127"/>
      <c r="M26" s="127" t="s">
        <v>519</v>
      </c>
      <c r="N26" s="127"/>
      <c r="O26" s="128"/>
      <c r="P26" s="128"/>
      <c r="Q26" s="131" t="s">
        <v>533</v>
      </c>
      <c r="R26" s="133"/>
      <c r="S26" s="133"/>
      <c r="T26" s="698">
        <v>0</v>
      </c>
      <c r="U26" s="699"/>
      <c r="V26" s="594">
        <f t="shared" si="0"/>
        <v>0</v>
      </c>
    </row>
    <row r="27" spans="1:22" ht="15">
      <c r="A27" s="126"/>
      <c r="B27" s="127"/>
      <c r="C27" s="127"/>
      <c r="D27" s="127" t="s">
        <v>488</v>
      </c>
      <c r="E27" s="128"/>
      <c r="F27" s="129" t="s">
        <v>489</v>
      </c>
      <c r="G27" s="129"/>
      <c r="H27" s="130">
        <v>-2822422</v>
      </c>
      <c r="I27" s="323">
        <v>-3.9073484421556142</v>
      </c>
      <c r="J27" s="134" t="s">
        <v>507</v>
      </c>
      <c r="K27" s="132"/>
      <c r="L27" s="127"/>
      <c r="M27" s="127"/>
      <c r="N27" s="127"/>
      <c r="O27" s="128"/>
      <c r="P27" s="128"/>
      <c r="Q27" s="131"/>
      <c r="R27" s="133"/>
      <c r="S27" s="133"/>
      <c r="T27" s="698">
        <f>T13+T21</f>
        <v>72233691</v>
      </c>
      <c r="U27" s="699"/>
      <c r="V27" s="492"/>
    </row>
    <row r="28" spans="1:22" ht="15">
      <c r="A28" s="126"/>
      <c r="B28" s="127"/>
      <c r="C28" s="127" t="s">
        <v>490</v>
      </c>
      <c r="D28" s="127"/>
      <c r="E28" s="128"/>
      <c r="F28" s="129" t="s">
        <v>491</v>
      </c>
      <c r="G28" s="129"/>
      <c r="H28" s="130">
        <v>41187221</v>
      </c>
      <c r="I28" s="323">
        <v>57.019405252321938</v>
      </c>
      <c r="J28" s="134"/>
      <c r="K28" s="132"/>
      <c r="L28" s="127"/>
      <c r="M28" s="127"/>
      <c r="N28" s="127"/>
      <c r="O28" s="128"/>
      <c r="P28" s="128"/>
      <c r="Q28" s="131"/>
      <c r="R28" s="133"/>
      <c r="S28" s="133"/>
      <c r="T28" s="698"/>
      <c r="U28" s="699"/>
      <c r="V28" s="492"/>
    </row>
    <row r="29" spans="1:22" ht="15">
      <c r="A29" s="126"/>
      <c r="B29" s="127"/>
      <c r="C29" s="127"/>
      <c r="D29" s="127" t="s">
        <v>490</v>
      </c>
      <c r="E29" s="128"/>
      <c r="F29" s="129" t="s">
        <v>492</v>
      </c>
      <c r="G29" s="129"/>
      <c r="H29" s="130">
        <v>68906459</v>
      </c>
      <c r="I29" s="323">
        <v>95.393794842907866</v>
      </c>
      <c r="J29" s="134"/>
      <c r="K29" s="132"/>
      <c r="L29" s="127"/>
      <c r="M29" s="127"/>
      <c r="N29" s="127"/>
      <c r="O29" s="128"/>
      <c r="P29" s="128"/>
      <c r="Q29" s="590"/>
      <c r="R29" s="133"/>
      <c r="S29" s="133"/>
      <c r="T29" s="133"/>
      <c r="U29" s="592"/>
      <c r="V29" s="492"/>
    </row>
    <row r="30" spans="1:22" ht="15">
      <c r="A30" s="126"/>
      <c r="B30" s="127"/>
      <c r="C30" s="127"/>
      <c r="D30" s="127" t="s">
        <v>493</v>
      </c>
      <c r="E30" s="128"/>
      <c r="F30" s="129" t="s">
        <v>494</v>
      </c>
      <c r="G30" s="129"/>
      <c r="H30" s="130">
        <v>-27719238</v>
      </c>
      <c r="I30" s="323">
        <v>-38.37438959058592</v>
      </c>
      <c r="J30" s="134"/>
      <c r="K30" s="132"/>
      <c r="L30" s="127"/>
      <c r="M30" s="127"/>
      <c r="N30" s="127"/>
      <c r="O30" s="128"/>
      <c r="P30" s="128"/>
      <c r="Q30" s="590"/>
      <c r="R30" s="133"/>
      <c r="S30" s="133"/>
      <c r="T30" s="133"/>
      <c r="U30" s="592"/>
      <c r="V30" s="492"/>
    </row>
    <row r="31" spans="1:22" ht="15">
      <c r="A31" s="126"/>
      <c r="B31" s="127"/>
      <c r="C31" s="127" t="s">
        <v>47</v>
      </c>
      <c r="D31" s="127"/>
      <c r="E31" s="128"/>
      <c r="F31" s="129" t="s">
        <v>495</v>
      </c>
      <c r="G31" s="129"/>
      <c r="H31" s="130">
        <v>2022414</v>
      </c>
      <c r="I31" s="323">
        <v>2.7998209312050801</v>
      </c>
      <c r="J31" s="134"/>
      <c r="K31" s="132"/>
      <c r="L31" s="127"/>
      <c r="M31" s="127"/>
      <c r="N31" s="127"/>
      <c r="O31" s="128"/>
      <c r="P31" s="128"/>
      <c r="Q31" s="590"/>
      <c r="R31" s="133"/>
      <c r="S31" s="133"/>
      <c r="T31" s="133"/>
      <c r="U31" s="592"/>
      <c r="V31" s="492"/>
    </row>
    <row r="32" spans="1:22" ht="15">
      <c r="A32" s="126"/>
      <c r="B32" s="127"/>
      <c r="C32" s="127"/>
      <c r="D32" s="127" t="s">
        <v>47</v>
      </c>
      <c r="E32" s="128"/>
      <c r="F32" s="129" t="s">
        <v>496</v>
      </c>
      <c r="G32" s="129"/>
      <c r="H32" s="130">
        <v>6946466</v>
      </c>
      <c r="I32" s="323">
        <v>9.6166565820373204</v>
      </c>
      <c r="J32" s="134"/>
      <c r="K32" s="132"/>
      <c r="L32" s="127"/>
      <c r="M32" s="127"/>
      <c r="N32" s="127"/>
      <c r="O32" s="128"/>
      <c r="P32" s="128"/>
      <c r="Q32" s="590"/>
      <c r="R32" s="133"/>
      <c r="S32" s="133"/>
      <c r="T32" s="133"/>
      <c r="U32" s="592"/>
      <c r="V32" s="492"/>
    </row>
    <row r="33" spans="1:22" ht="15">
      <c r="A33" s="126"/>
      <c r="B33" s="127"/>
      <c r="C33" s="127"/>
      <c r="D33" s="127" t="s">
        <v>497</v>
      </c>
      <c r="E33" s="128"/>
      <c r="F33" s="129" t="s">
        <v>498</v>
      </c>
      <c r="G33" s="129"/>
      <c r="H33" s="130">
        <v>-4924052</v>
      </c>
      <c r="I33" s="323">
        <v>-6.8168356508322407</v>
      </c>
      <c r="J33" s="134"/>
      <c r="K33" s="132"/>
      <c r="L33" s="127"/>
      <c r="M33" s="127"/>
      <c r="N33" s="127"/>
      <c r="O33" s="128"/>
      <c r="P33" s="128"/>
      <c r="Q33" s="590"/>
      <c r="R33" s="133"/>
      <c r="S33" s="133"/>
      <c r="T33" s="133"/>
      <c r="U33" s="592"/>
      <c r="V33" s="492"/>
    </row>
    <row r="34" spans="1:22" ht="15">
      <c r="A34" s="126"/>
      <c r="B34" s="127"/>
      <c r="C34" s="127" t="s">
        <v>48</v>
      </c>
      <c r="D34" s="127"/>
      <c r="E34" s="128"/>
      <c r="F34" s="129" t="s">
        <v>499</v>
      </c>
      <c r="G34" s="129"/>
      <c r="H34" s="130">
        <v>379859</v>
      </c>
      <c r="I34" s="323">
        <v>0.52587510722662645</v>
      </c>
      <c r="J34" s="134"/>
      <c r="K34" s="132"/>
      <c r="L34" s="127"/>
      <c r="M34" s="127"/>
      <c r="N34" s="127"/>
      <c r="O34" s="128"/>
      <c r="P34" s="128"/>
      <c r="Q34" s="590"/>
      <c r="R34" s="133"/>
      <c r="S34" s="133"/>
      <c r="T34" s="133"/>
      <c r="U34" s="592"/>
      <c r="V34" s="492"/>
    </row>
    <row r="35" spans="1:22" ht="15">
      <c r="A35" s="126"/>
      <c r="B35" s="127"/>
      <c r="C35" s="127"/>
      <c r="D35" s="127" t="s">
        <v>48</v>
      </c>
      <c r="E35" s="128"/>
      <c r="F35" s="129" t="s">
        <v>500</v>
      </c>
      <c r="G35" s="129"/>
      <c r="H35" s="130">
        <v>946500</v>
      </c>
      <c r="I35" s="323">
        <v>1.3103303830895197</v>
      </c>
      <c r="J35" s="134"/>
      <c r="K35" s="132"/>
      <c r="L35" s="127"/>
      <c r="M35" s="127"/>
      <c r="N35" s="127"/>
      <c r="O35" s="128"/>
      <c r="P35" s="128"/>
      <c r="Q35" s="131"/>
      <c r="R35" s="133"/>
      <c r="S35" s="133"/>
      <c r="T35" s="696"/>
      <c r="U35" s="697"/>
      <c r="V35" s="492"/>
    </row>
    <row r="36" spans="1:22" ht="15">
      <c r="A36" s="126"/>
      <c r="B36" s="127"/>
      <c r="C36" s="127"/>
      <c r="D36" s="127" t="s">
        <v>501</v>
      </c>
      <c r="E36" s="128"/>
      <c r="F36" s="129" t="s">
        <v>502</v>
      </c>
      <c r="G36" s="129"/>
      <c r="H36" s="130">
        <v>-566641</v>
      </c>
      <c r="I36" s="323">
        <v>-0.78445527586289343</v>
      </c>
      <c r="J36" s="134"/>
      <c r="K36" s="132"/>
      <c r="L36" s="127"/>
      <c r="M36" s="127"/>
      <c r="N36" s="127"/>
      <c r="O36" s="128"/>
      <c r="P36" s="128"/>
      <c r="Q36" s="131"/>
      <c r="R36" s="133"/>
      <c r="S36" s="133"/>
      <c r="T36" s="696"/>
      <c r="U36" s="697"/>
      <c r="V36" s="492"/>
    </row>
    <row r="37" spans="1:22" ht="14.25">
      <c r="A37" s="126"/>
      <c r="B37" s="132"/>
      <c r="C37" s="127" t="s">
        <v>200</v>
      </c>
      <c r="D37" s="127"/>
      <c r="E37" s="128"/>
      <c r="F37" s="133" t="s">
        <v>503</v>
      </c>
      <c r="G37" s="133"/>
      <c r="H37" s="130">
        <v>5295822</v>
      </c>
      <c r="I37" s="323">
        <v>7.3315123824975252</v>
      </c>
      <c r="J37" s="134"/>
      <c r="K37" s="132"/>
      <c r="L37" s="132"/>
      <c r="M37" s="127"/>
      <c r="N37" s="127"/>
      <c r="O37" s="128"/>
      <c r="P37" s="128"/>
      <c r="Q37" s="131"/>
      <c r="R37" s="133"/>
      <c r="S37" s="133"/>
      <c r="T37" s="696"/>
      <c r="U37" s="697"/>
      <c r="V37" s="492"/>
    </row>
    <row r="38" spans="1:22" ht="14.25">
      <c r="A38" s="126"/>
      <c r="B38" s="132"/>
      <c r="C38" s="132"/>
      <c r="D38" s="132" t="s">
        <v>200</v>
      </c>
      <c r="E38" s="128"/>
      <c r="F38" s="133" t="s">
        <v>504</v>
      </c>
      <c r="G38" s="133"/>
      <c r="H38" s="130">
        <v>10547892</v>
      </c>
      <c r="I38" s="323">
        <v>14.602454691121903</v>
      </c>
      <c r="J38" s="134"/>
      <c r="K38" s="132"/>
      <c r="L38" s="127"/>
      <c r="M38" s="127"/>
      <c r="N38" s="127"/>
      <c r="O38" s="128"/>
      <c r="P38" s="128"/>
      <c r="Q38" s="131"/>
      <c r="R38" s="133"/>
      <c r="S38" s="133"/>
      <c r="T38" s="696"/>
      <c r="U38" s="697"/>
      <c r="V38" s="492"/>
    </row>
    <row r="39" spans="1:22" ht="14.25">
      <c r="A39" s="126"/>
      <c r="B39" s="132"/>
      <c r="C39" s="132"/>
      <c r="D39" s="132" t="s">
        <v>505</v>
      </c>
      <c r="E39" s="128"/>
      <c r="F39" s="133" t="s">
        <v>506</v>
      </c>
      <c r="G39" s="133"/>
      <c r="H39" s="130">
        <v>-5252070</v>
      </c>
      <c r="I39" s="323">
        <v>-7.2709423086243783</v>
      </c>
      <c r="J39" s="134"/>
      <c r="K39" s="132"/>
      <c r="L39" s="132"/>
      <c r="M39" s="127"/>
      <c r="N39" s="127"/>
      <c r="O39" s="128"/>
      <c r="P39" s="128"/>
      <c r="Q39" s="131"/>
      <c r="R39" s="133"/>
      <c r="S39" s="133"/>
      <c r="T39" s="696"/>
      <c r="U39" s="697"/>
      <c r="V39" s="492"/>
    </row>
    <row r="40" spans="1:22" ht="14.25">
      <c r="A40" s="126" t="s">
        <v>507</v>
      </c>
      <c r="B40" s="132"/>
      <c r="C40" s="132"/>
      <c r="D40" s="127"/>
      <c r="E40" s="128"/>
      <c r="F40" s="133"/>
      <c r="G40" s="133"/>
      <c r="H40" s="130">
        <v>72233691</v>
      </c>
      <c r="I40" s="323"/>
      <c r="J40" s="134"/>
      <c r="K40" s="132"/>
      <c r="L40" s="132"/>
      <c r="M40" s="132"/>
      <c r="N40" s="127"/>
      <c r="O40" s="128"/>
      <c r="P40" s="128"/>
      <c r="Q40" s="131"/>
      <c r="R40" s="133"/>
      <c r="S40" s="133"/>
      <c r="T40" s="696"/>
      <c r="U40" s="697"/>
      <c r="V40" s="492"/>
    </row>
    <row r="41" spans="1:22" ht="11.65" customHeight="1">
      <c r="A41" s="135"/>
      <c r="B41" s="136"/>
      <c r="C41" s="136"/>
      <c r="D41" s="136"/>
      <c r="E41" s="137"/>
      <c r="F41" s="138"/>
      <c r="G41" s="138"/>
      <c r="H41" s="139"/>
      <c r="I41" s="324"/>
      <c r="J41" s="138"/>
      <c r="K41" s="136"/>
      <c r="L41" s="136"/>
      <c r="M41" s="136"/>
      <c r="N41" s="136"/>
      <c r="O41" s="137"/>
      <c r="P41" s="137"/>
      <c r="Q41" s="139"/>
      <c r="R41" s="138"/>
      <c r="S41" s="138"/>
      <c r="T41" s="694"/>
      <c r="U41" s="695"/>
      <c r="V41" s="493"/>
    </row>
    <row r="42" spans="1:22" ht="14.25" customHeight="1">
      <c r="A42" s="684" t="s">
        <v>326</v>
      </c>
      <c r="B42" s="684"/>
      <c r="C42" s="684"/>
      <c r="D42" s="684"/>
      <c r="E42" s="684"/>
      <c r="F42" s="684"/>
      <c r="G42" s="685">
        <v>0</v>
      </c>
      <c r="H42" s="685"/>
      <c r="L42" s="686" t="s">
        <v>327</v>
      </c>
      <c r="M42" s="686"/>
      <c r="N42" s="686"/>
      <c r="O42" s="686"/>
      <c r="P42" s="686"/>
      <c r="Q42" s="686"/>
      <c r="R42" s="686"/>
      <c r="S42" s="687">
        <v>0</v>
      </c>
      <c r="T42" s="687"/>
      <c r="U42" s="687"/>
    </row>
    <row r="43" spans="1:22" ht="14.25">
      <c r="A43" s="688" t="s">
        <v>8</v>
      </c>
      <c r="B43" s="688"/>
      <c r="D43" s="542" t="s">
        <v>461</v>
      </c>
    </row>
  </sheetData>
  <mergeCells count="42"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  <mergeCell ref="T22:U22"/>
    <mergeCell ref="T17:U17"/>
    <mergeCell ref="T18:U18"/>
    <mergeCell ref="T19:U19"/>
    <mergeCell ref="T20:U20"/>
    <mergeCell ref="T9:U11"/>
    <mergeCell ref="V9:V11"/>
    <mergeCell ref="T41:U41"/>
    <mergeCell ref="T38:U38"/>
    <mergeCell ref="T39:U39"/>
    <mergeCell ref="T40:U40"/>
    <mergeCell ref="T28:U28"/>
    <mergeCell ref="T35:U35"/>
    <mergeCell ref="T36:U36"/>
    <mergeCell ref="T24:U24"/>
    <mergeCell ref="T23:U23"/>
    <mergeCell ref="T27:U27"/>
    <mergeCell ref="T25:U25"/>
    <mergeCell ref="T37:U37"/>
    <mergeCell ref="T26:U26"/>
    <mergeCell ref="T21:U21"/>
    <mergeCell ref="A42:F42"/>
    <mergeCell ref="G42:H42"/>
    <mergeCell ref="L42:R42"/>
    <mergeCell ref="S42:U42"/>
    <mergeCell ref="A43:B43"/>
  </mergeCells>
  <phoneticPr fontId="10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9"/>
  <sheetViews>
    <sheetView showGridLines="0" showOutlineSymbols="0" view="pageBreakPreview" zoomScaleSheetLayoutView="100" workbookViewId="0">
      <selection activeCell="G23" sqref="G23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714" t="str">
        <f>封面!$A$4</f>
        <v>彰化縣地方教育發展基金－彰化縣秀水鄉馬興國民小學</v>
      </c>
      <c r="B1" s="715"/>
      <c r="C1" s="715"/>
      <c r="D1" s="715"/>
      <c r="E1" s="715"/>
      <c r="F1" s="715"/>
      <c r="G1" s="715"/>
      <c r="H1" s="715"/>
      <c r="I1" s="715"/>
      <c r="J1" s="715"/>
      <c r="K1" s="715"/>
      <c r="L1" s="715"/>
      <c r="M1" s="716"/>
    </row>
    <row r="2" spans="1:13">
      <c r="A2" s="715"/>
      <c r="B2" s="715"/>
      <c r="C2" s="715"/>
      <c r="D2" s="715"/>
      <c r="E2" s="715"/>
      <c r="F2" s="715"/>
      <c r="G2" s="715"/>
      <c r="H2" s="715"/>
      <c r="I2" s="715"/>
      <c r="J2" s="715"/>
      <c r="K2" s="715"/>
      <c r="L2" s="715"/>
      <c r="M2" s="716"/>
    </row>
    <row r="3" spans="1:13">
      <c r="M3" s="222"/>
    </row>
    <row r="4" spans="1:13" ht="23.25" customHeight="1">
      <c r="A4" s="717" t="s">
        <v>27</v>
      </c>
      <c r="B4" s="717"/>
      <c r="C4" s="717"/>
      <c r="D4" s="717"/>
      <c r="E4" s="717"/>
      <c r="F4" s="717"/>
      <c r="G4" s="717"/>
      <c r="H4" s="717"/>
      <c r="I4" s="717"/>
      <c r="J4" s="717"/>
      <c r="K4" s="717"/>
      <c r="L4" s="717"/>
      <c r="M4" s="717"/>
    </row>
    <row r="5" spans="1:13" ht="2.25" customHeight="1">
      <c r="A5" s="717"/>
      <c r="B5" s="717"/>
      <c r="C5" s="717"/>
      <c r="D5" s="717"/>
      <c r="E5" s="717"/>
      <c r="F5" s="717"/>
      <c r="G5" s="717"/>
      <c r="H5" s="717"/>
      <c r="I5" s="717"/>
      <c r="J5" s="717"/>
      <c r="K5" s="717"/>
      <c r="L5" s="717"/>
      <c r="M5" s="717"/>
    </row>
    <row r="6" spans="1:13" ht="16.5">
      <c r="A6" s="718" t="str">
        <f>封面!$E$10&amp;封面!$H$10&amp;封面!$I$10&amp;封面!$J$10&amp;封面!$K$10&amp;封面!L10</f>
        <v>中華民國113年1月份</v>
      </c>
      <c r="B6" s="718"/>
      <c r="C6" s="718"/>
      <c r="D6" s="718"/>
      <c r="E6" s="718"/>
      <c r="F6" s="718"/>
      <c r="G6" s="718"/>
      <c r="H6" s="718"/>
      <c r="I6" s="718"/>
      <c r="J6" s="718"/>
      <c r="K6" s="718"/>
      <c r="L6" s="718"/>
      <c r="M6" s="718"/>
    </row>
    <row r="7" spans="1:13" ht="10.5" customHeight="1"/>
    <row r="8" spans="1:13" ht="16.5">
      <c r="A8" s="659" t="s">
        <v>1</v>
      </c>
      <c r="B8" s="659"/>
      <c r="C8" s="659"/>
      <c r="D8" s="659"/>
      <c r="E8" s="659"/>
      <c r="F8" s="659"/>
      <c r="G8" s="659"/>
      <c r="H8" s="659"/>
      <c r="I8" s="659"/>
      <c r="J8" s="659"/>
      <c r="K8" s="659"/>
      <c r="L8" s="659"/>
      <c r="M8" s="659"/>
    </row>
    <row r="9" spans="1:13" ht="1.5" customHeight="1"/>
    <row r="10" spans="1:13" s="5" customFormat="1" ht="32.25" customHeight="1">
      <c r="A10" s="16"/>
      <c r="B10" s="708" t="s">
        <v>28</v>
      </c>
      <c r="C10" s="709"/>
      <c r="D10" s="710" t="s">
        <v>29</v>
      </c>
      <c r="E10" s="713" t="s">
        <v>30</v>
      </c>
      <c r="F10" s="708"/>
      <c r="G10" s="708"/>
      <c r="H10" s="719" t="s">
        <v>205</v>
      </c>
      <c r="I10" s="720"/>
      <c r="J10" s="720"/>
      <c r="K10" s="720"/>
      <c r="L10" s="720"/>
      <c r="M10" s="221"/>
    </row>
    <row r="11" spans="1:13" s="5" customFormat="1" ht="16.5" hidden="1" customHeight="1">
      <c r="B11" s="721" t="s">
        <v>31</v>
      </c>
      <c r="C11" s="710" t="s">
        <v>32</v>
      </c>
      <c r="D11" s="711"/>
      <c r="E11" s="710" t="s">
        <v>33</v>
      </c>
      <c r="F11" s="710" t="s">
        <v>34</v>
      </c>
      <c r="G11" s="710" t="s">
        <v>35</v>
      </c>
      <c r="H11" s="710" t="s">
        <v>33</v>
      </c>
      <c r="I11" s="710" t="s">
        <v>34</v>
      </c>
      <c r="J11" s="725" t="s">
        <v>197</v>
      </c>
      <c r="K11" s="726"/>
      <c r="L11" s="727"/>
      <c r="M11" s="142"/>
    </row>
    <row r="12" spans="1:13" s="5" customFormat="1" ht="16.5">
      <c r="A12" s="16"/>
      <c r="B12" s="722"/>
      <c r="C12" s="723"/>
      <c r="D12" s="712"/>
      <c r="E12" s="723"/>
      <c r="F12" s="723"/>
      <c r="G12" s="723"/>
      <c r="H12" s="724"/>
      <c r="I12" s="724"/>
      <c r="J12" s="221" t="s">
        <v>198</v>
      </c>
      <c r="K12" s="223"/>
      <c r="L12" s="221" t="s">
        <v>199</v>
      </c>
      <c r="M12" s="221"/>
    </row>
    <row r="13" spans="1:13" ht="39.75" hidden="1" customHeight="1">
      <c r="C13" s="331"/>
      <c r="D13" s="331"/>
      <c r="E13" s="331"/>
      <c r="H13" s="14"/>
      <c r="I13" s="14"/>
      <c r="J13" s="14"/>
      <c r="K13" s="14"/>
      <c r="L13" s="14"/>
      <c r="M13" s="14"/>
    </row>
    <row r="14" spans="1:13" hidden="1">
      <c r="C14" s="331"/>
      <c r="D14" s="331"/>
      <c r="E14" s="331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22</v>
      </c>
      <c r="C15" s="381"/>
      <c r="D15" s="382" t="s">
        <v>36</v>
      </c>
      <c r="E15" s="383"/>
      <c r="F15" s="269"/>
      <c r="G15" s="270"/>
      <c r="H15" s="271">
        <v>6951569</v>
      </c>
      <c r="I15" s="271">
        <v>7531000</v>
      </c>
      <c r="J15" s="271">
        <v>-579431</v>
      </c>
      <c r="K15" s="271"/>
      <c r="L15" s="272">
        <v>-7.6939450272208205</v>
      </c>
      <c r="M15" s="140"/>
    </row>
    <row r="16" spans="1:13" ht="12.75" hidden="1" customHeight="1">
      <c r="A16" s="6"/>
      <c r="B16" s="148"/>
      <c r="C16" s="366"/>
      <c r="D16" s="367"/>
      <c r="E16" s="368"/>
      <c r="F16" s="273"/>
      <c r="G16" s="273"/>
      <c r="H16" s="269"/>
      <c r="I16" s="269"/>
      <c r="J16" s="269"/>
      <c r="K16" s="269"/>
      <c r="L16" s="269"/>
      <c r="M16" s="141"/>
    </row>
    <row r="17" spans="1:13" ht="21" customHeight="1">
      <c r="A17" s="8"/>
      <c r="B17" s="150"/>
      <c r="C17" s="384"/>
      <c r="D17" s="385" t="s">
        <v>37</v>
      </c>
      <c r="E17" s="383"/>
      <c r="F17" s="269"/>
      <c r="G17" s="270"/>
      <c r="H17" s="271">
        <v>6951569</v>
      </c>
      <c r="I17" s="271">
        <v>7531000</v>
      </c>
      <c r="J17" s="271">
        <v>-579431</v>
      </c>
      <c r="K17" s="271"/>
      <c r="L17" s="272">
        <v>-7.6939450272208205</v>
      </c>
      <c r="M17" s="140"/>
    </row>
    <row r="18" spans="1:13" ht="12.75" hidden="1" customHeight="1">
      <c r="B18" s="149"/>
      <c r="C18" s="367"/>
      <c r="D18" s="386"/>
      <c r="E18" s="368"/>
      <c r="F18" s="273"/>
      <c r="G18" s="273"/>
      <c r="H18" s="269"/>
      <c r="I18" s="269"/>
      <c r="J18" s="269"/>
      <c r="K18" s="269"/>
      <c r="L18" s="269"/>
      <c r="M18" s="141"/>
    </row>
    <row r="19" spans="1:13" ht="12.75" hidden="1" customHeight="1">
      <c r="B19" s="149"/>
      <c r="C19" s="367"/>
      <c r="D19" s="367"/>
      <c r="E19" s="368"/>
      <c r="F19" s="273"/>
      <c r="G19" s="273"/>
      <c r="H19" s="269"/>
      <c r="I19" s="269"/>
      <c r="J19" s="269"/>
      <c r="K19" s="269"/>
      <c r="L19" s="269"/>
      <c r="M19" s="141"/>
    </row>
    <row r="20" spans="1:13" ht="21" hidden="1" customHeight="1">
      <c r="A20" s="12"/>
      <c r="B20" s="17" t="s">
        <v>23</v>
      </c>
      <c r="C20" s="381"/>
      <c r="D20" s="382" t="s">
        <v>36</v>
      </c>
      <c r="E20" s="383"/>
      <c r="F20" s="269"/>
      <c r="G20" s="274"/>
      <c r="H20" s="271"/>
      <c r="I20" s="271"/>
      <c r="J20" s="271"/>
      <c r="K20" s="271"/>
      <c r="L20" s="272"/>
      <c r="M20" s="140"/>
    </row>
    <row r="21" spans="1:13" ht="12.75" hidden="1" customHeight="1">
      <c r="A21" s="6"/>
      <c r="B21" s="148"/>
      <c r="C21" s="366"/>
      <c r="D21" s="367"/>
      <c r="E21" s="368"/>
      <c r="F21" s="273"/>
      <c r="G21" s="273"/>
      <c r="H21" s="269"/>
      <c r="I21" s="269"/>
      <c r="J21" s="269"/>
      <c r="K21" s="269"/>
      <c r="L21" s="269"/>
      <c r="M21" s="141"/>
    </row>
    <row r="22" spans="1:13" ht="21" hidden="1" customHeight="1">
      <c r="A22" s="8"/>
      <c r="B22" s="150"/>
      <c r="C22" s="384"/>
      <c r="D22" s="385" t="s">
        <v>37</v>
      </c>
      <c r="E22" s="383"/>
      <c r="F22" s="269"/>
      <c r="G22" s="274"/>
      <c r="H22" s="271"/>
      <c r="I22" s="271"/>
      <c r="J22" s="271"/>
      <c r="K22" s="271"/>
      <c r="L22" s="272"/>
      <c r="M22" s="140"/>
    </row>
    <row r="23" spans="1:13" ht="12.75" hidden="1" customHeight="1">
      <c r="B23" s="149"/>
      <c r="C23" s="149"/>
      <c r="D23" s="151"/>
      <c r="E23" s="273"/>
      <c r="F23" s="273"/>
      <c r="G23" s="273"/>
      <c r="H23" s="269"/>
      <c r="I23" s="269"/>
      <c r="J23" s="269"/>
      <c r="K23" s="269"/>
      <c r="L23" s="269"/>
      <c r="M23" s="141"/>
    </row>
    <row r="24" spans="1:13" ht="12.75" hidden="1" customHeight="1">
      <c r="B24" s="149"/>
      <c r="C24" s="149"/>
      <c r="D24" s="149"/>
      <c r="E24" s="273"/>
      <c r="F24" s="273"/>
      <c r="G24" s="273"/>
      <c r="H24" s="269"/>
      <c r="I24" s="269"/>
      <c r="J24" s="269"/>
      <c r="K24" s="269"/>
      <c r="L24" s="269"/>
      <c r="M24" s="141"/>
    </row>
    <row r="25" spans="1:13" ht="12.75" hidden="1" customHeight="1">
      <c r="B25" s="153"/>
      <c r="C25" s="154"/>
      <c r="D25" s="155"/>
      <c r="E25" s="152"/>
      <c r="F25" s="152"/>
      <c r="G25" s="152"/>
      <c r="H25" s="116"/>
      <c r="I25" s="116"/>
      <c r="J25" s="224"/>
      <c r="K25" s="224"/>
      <c r="L25" s="117"/>
      <c r="M25" s="118"/>
    </row>
    <row r="26" spans="1:13" ht="17.25" hidden="1" customHeight="1">
      <c r="B26" s="154"/>
      <c r="C26" s="154"/>
      <c r="D26" s="151"/>
      <c r="E26" s="156"/>
      <c r="F26" s="156"/>
      <c r="G26" s="156"/>
      <c r="H26" s="156"/>
      <c r="I26" s="156"/>
      <c r="J26" s="156"/>
      <c r="K26" s="156"/>
      <c r="L26" s="156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2"/>
  <sheetViews>
    <sheetView showZeros="0" view="pageBreakPreview" zoomScaleSheetLayoutView="100" workbookViewId="0">
      <selection activeCell="G23" sqref="G23"/>
    </sheetView>
  </sheetViews>
  <sheetFormatPr defaultColWidth="9.140625" defaultRowHeight="15.75"/>
  <cols>
    <col min="1" max="1" width="25.42578125" style="238" customWidth="1"/>
    <col min="2" max="7" width="17" style="59" customWidth="1"/>
    <col min="8" max="16384" width="9.140625" style="59"/>
  </cols>
  <sheetData>
    <row r="1" spans="1:11" s="82" customFormat="1" ht="19.5">
      <c r="A1" s="729" t="str">
        <f>封面!$A$4</f>
        <v>彰化縣地方教育發展基金－彰化縣秀水鄉馬興國民小學</v>
      </c>
      <c r="B1" s="729"/>
      <c r="C1" s="729"/>
      <c r="D1" s="729"/>
      <c r="E1" s="729"/>
      <c r="F1" s="729"/>
      <c r="G1" s="730"/>
      <c r="J1" s="233"/>
      <c r="K1" s="208"/>
    </row>
    <row r="2" spans="1:11" s="82" customFormat="1" ht="19.5" hidden="1">
      <c r="A2" s="236"/>
      <c r="B2" s="229"/>
      <c r="C2" s="229"/>
      <c r="D2" s="232"/>
      <c r="E2" s="232"/>
      <c r="F2" s="232"/>
      <c r="J2" s="233"/>
      <c r="K2" s="208"/>
    </row>
    <row r="3" spans="1:11" s="82" customFormat="1" ht="14.25" hidden="1" customHeight="1">
      <c r="A3" s="237"/>
      <c r="J3" s="233"/>
      <c r="K3" s="208"/>
    </row>
    <row r="4" spans="1:11" s="82" customFormat="1" ht="21">
      <c r="A4" s="733" t="s">
        <v>270</v>
      </c>
      <c r="B4" s="733"/>
      <c r="C4" s="733"/>
      <c r="D4" s="733"/>
      <c r="E4" s="733"/>
      <c r="F4" s="733"/>
      <c r="G4" s="730"/>
      <c r="J4" s="233"/>
      <c r="K4" s="208"/>
    </row>
    <row r="5" spans="1:11" s="82" customFormat="1" ht="6.75" customHeight="1">
      <c r="A5" s="237"/>
      <c r="J5" s="233"/>
      <c r="K5" s="208"/>
    </row>
    <row r="6" spans="1:11" s="82" customFormat="1" ht="16.5">
      <c r="A6" s="732" t="str">
        <f>封面!$E$10&amp;封面!$H$10&amp;封面!$I$10&amp;封面!$J$10&amp;封面!$K$10&amp;封面!L10</f>
        <v>中華民國113年1月份</v>
      </c>
      <c r="B6" s="732"/>
      <c r="C6" s="732"/>
      <c r="D6" s="732"/>
      <c r="E6" s="732"/>
      <c r="F6" s="732"/>
      <c r="G6" s="730"/>
      <c r="J6" s="233"/>
      <c r="K6" s="208"/>
    </row>
    <row r="7" spans="1:11" s="82" customFormat="1" ht="14.25" customHeight="1">
      <c r="A7" s="659" t="s">
        <v>39</v>
      </c>
      <c r="B7" s="659"/>
      <c r="C7" s="659"/>
      <c r="D7" s="659"/>
      <c r="E7" s="659"/>
      <c r="F7" s="659"/>
      <c r="G7" s="730"/>
      <c r="J7" s="233"/>
      <c r="K7" s="208"/>
    </row>
    <row r="8" spans="1:11" s="234" customFormat="1" ht="28.5" customHeight="1">
      <c r="A8" s="653" t="s">
        <v>215</v>
      </c>
      <c r="B8" s="653" t="s">
        <v>271</v>
      </c>
      <c r="C8" s="653" t="s">
        <v>272</v>
      </c>
      <c r="D8" s="734" t="s">
        <v>275</v>
      </c>
      <c r="E8" s="735"/>
      <c r="F8" s="661" t="s">
        <v>276</v>
      </c>
      <c r="G8" s="672" t="s">
        <v>277</v>
      </c>
    </row>
    <row r="9" spans="1:11" s="235" customFormat="1" ht="28.5" customHeight="1">
      <c r="A9" s="731"/>
      <c r="B9" s="731"/>
      <c r="C9" s="731"/>
      <c r="D9" s="314" t="s">
        <v>273</v>
      </c>
      <c r="E9" s="314" t="s">
        <v>274</v>
      </c>
      <c r="F9" s="728"/>
      <c r="G9" s="697"/>
    </row>
    <row r="10" spans="1:11">
      <c r="A10" s="239" t="s">
        <v>207</v>
      </c>
      <c r="B10" s="275">
        <f t="shared" ref="B10:G10" si="0">SUM(B12:B40)</f>
        <v>103511975</v>
      </c>
      <c r="C10" s="275">
        <f t="shared" si="0"/>
        <v>40943486</v>
      </c>
      <c r="D10" s="315">
        <f t="shared" si="0"/>
        <v>0</v>
      </c>
      <c r="E10" s="315">
        <f t="shared" si="0"/>
        <v>0</v>
      </c>
      <c r="F10" s="315">
        <f t="shared" si="0"/>
        <v>340937</v>
      </c>
      <c r="G10" s="315">
        <f t="shared" si="0"/>
        <v>62227552</v>
      </c>
    </row>
    <row r="11" spans="1:11" ht="15.75" hidden="1" customHeight="1">
      <c r="A11" s="240"/>
      <c r="B11" s="276"/>
      <c r="C11" s="276"/>
      <c r="D11" s="316"/>
      <c r="E11" s="316"/>
      <c r="F11" s="316"/>
      <c r="G11" s="316"/>
    </row>
    <row r="12" spans="1:11">
      <c r="A12" s="241" t="s">
        <v>208</v>
      </c>
      <c r="B12" s="276"/>
      <c r="C12" s="276"/>
      <c r="D12" s="316"/>
      <c r="E12" s="316"/>
      <c r="F12" s="316"/>
      <c r="G12" s="316">
        <f>B12-C12+D12-E12-F12</f>
        <v>0</v>
      </c>
    </row>
    <row r="13" spans="1:11" ht="15.75" hidden="1" customHeight="1">
      <c r="A13" s="241"/>
      <c r="B13" s="276"/>
      <c r="C13" s="365"/>
      <c r="D13" s="424"/>
      <c r="E13" s="424"/>
      <c r="F13" s="316"/>
      <c r="G13" s="316">
        <f t="shared" ref="G13:G41" si="1">B13-C13+D13-E13-F13</f>
        <v>0</v>
      </c>
    </row>
    <row r="14" spans="1:11">
      <c r="A14" s="241" t="s">
        <v>209</v>
      </c>
      <c r="B14" s="276">
        <v>11027358</v>
      </c>
      <c r="C14" s="425"/>
      <c r="D14" s="424"/>
      <c r="E14" s="424"/>
      <c r="F14" s="316"/>
      <c r="G14" s="316">
        <f t="shared" si="1"/>
        <v>11027358</v>
      </c>
    </row>
    <row r="15" spans="1:11" ht="15.75" hidden="1" customHeight="1">
      <c r="A15" s="241"/>
      <c r="B15" s="276"/>
      <c r="C15" s="425"/>
      <c r="D15" s="424"/>
      <c r="E15" s="424"/>
      <c r="F15" s="316"/>
      <c r="G15" s="316">
        <f t="shared" si="1"/>
        <v>0</v>
      </c>
    </row>
    <row r="16" spans="1:11">
      <c r="A16" s="241" t="s">
        <v>210</v>
      </c>
      <c r="B16" s="427">
        <v>5137300</v>
      </c>
      <c r="C16" s="428">
        <v>2789619</v>
      </c>
      <c r="D16" s="426"/>
      <c r="E16" s="424"/>
      <c r="F16" s="428">
        <v>32803</v>
      </c>
      <c r="G16" s="316">
        <f t="shared" si="1"/>
        <v>2314878</v>
      </c>
    </row>
    <row r="17" spans="1:7" ht="15.75" hidden="1" customHeight="1">
      <c r="A17" s="241"/>
      <c r="B17" s="425"/>
      <c r="C17" s="425"/>
      <c r="D17" s="426"/>
      <c r="E17" s="424"/>
      <c r="F17" s="428"/>
      <c r="G17" s="316">
        <f t="shared" si="1"/>
        <v>0</v>
      </c>
    </row>
    <row r="18" spans="1:7">
      <c r="A18" s="241" t="s">
        <v>211</v>
      </c>
      <c r="B18" s="427">
        <v>68906459</v>
      </c>
      <c r="C18" s="428">
        <v>27595108</v>
      </c>
      <c r="D18" s="424"/>
      <c r="E18" s="424"/>
      <c r="F18" s="428">
        <v>124130</v>
      </c>
      <c r="G18" s="316">
        <f t="shared" si="1"/>
        <v>41187221</v>
      </c>
    </row>
    <row r="19" spans="1:7" ht="15.75" hidden="1" customHeight="1">
      <c r="A19" s="241"/>
      <c r="B19" s="425"/>
      <c r="C19" s="425"/>
      <c r="D19" s="426"/>
      <c r="E19" s="424"/>
      <c r="F19" s="428"/>
      <c r="G19" s="316">
        <f t="shared" si="1"/>
        <v>0</v>
      </c>
    </row>
    <row r="20" spans="1:7">
      <c r="A20" s="241" t="s">
        <v>212</v>
      </c>
      <c r="B20" s="427">
        <v>6946466</v>
      </c>
      <c r="C20" s="428">
        <v>4863663</v>
      </c>
      <c r="D20" s="428"/>
      <c r="E20" s="424"/>
      <c r="F20" s="428">
        <v>60389</v>
      </c>
      <c r="G20" s="316">
        <f t="shared" si="1"/>
        <v>2022414</v>
      </c>
    </row>
    <row r="21" spans="1:7" ht="15.75" hidden="1" customHeight="1">
      <c r="A21" s="241"/>
      <c r="B21" s="425"/>
      <c r="C21" s="425"/>
      <c r="D21" s="426"/>
      <c r="E21" s="424"/>
      <c r="F21" s="428"/>
      <c r="G21" s="316">
        <f t="shared" si="1"/>
        <v>0</v>
      </c>
    </row>
    <row r="22" spans="1:7">
      <c r="A22" s="241" t="s">
        <v>213</v>
      </c>
      <c r="B22" s="427">
        <v>946500</v>
      </c>
      <c r="C22" s="428">
        <v>558542</v>
      </c>
      <c r="D22" s="428"/>
      <c r="E22" s="424"/>
      <c r="F22" s="428">
        <v>8099</v>
      </c>
      <c r="G22" s="316">
        <f t="shared" si="1"/>
        <v>379859</v>
      </c>
    </row>
    <row r="23" spans="1:7" ht="15.75" hidden="1" customHeight="1">
      <c r="A23" s="241"/>
      <c r="B23" s="425"/>
      <c r="C23" s="425"/>
      <c r="D23" s="426"/>
      <c r="E23" s="316"/>
      <c r="F23" s="428"/>
      <c r="G23" s="316">
        <f t="shared" si="1"/>
        <v>0</v>
      </c>
    </row>
    <row r="24" spans="1:7">
      <c r="A24" s="241" t="s">
        <v>214</v>
      </c>
      <c r="B24" s="427">
        <v>10547892</v>
      </c>
      <c r="C24" s="428">
        <v>5136554</v>
      </c>
      <c r="D24" s="428"/>
      <c r="E24" s="316"/>
      <c r="F24" s="428">
        <v>115516</v>
      </c>
      <c r="G24" s="316">
        <f t="shared" si="1"/>
        <v>5295822</v>
      </c>
    </row>
    <row r="25" spans="1:7" ht="15.75" hidden="1" customHeight="1">
      <c r="A25" s="241"/>
      <c r="B25" s="276"/>
      <c r="C25" s="276"/>
      <c r="D25" s="316"/>
      <c r="E25" s="316"/>
      <c r="F25" s="316"/>
      <c r="G25" s="316">
        <f t="shared" si="1"/>
        <v>0</v>
      </c>
    </row>
    <row r="26" spans="1:7">
      <c r="A26" s="241" t="s">
        <v>455</v>
      </c>
      <c r="B26" s="276"/>
      <c r="C26" s="276"/>
      <c r="D26" s="316"/>
      <c r="E26" s="316"/>
      <c r="F26" s="316"/>
      <c r="G26" s="316">
        <f t="shared" si="1"/>
        <v>0</v>
      </c>
    </row>
    <row r="27" spans="1:7" ht="15.75" hidden="1" customHeight="1">
      <c r="A27" s="241"/>
      <c r="B27" s="276"/>
      <c r="C27" s="276"/>
      <c r="D27" s="316"/>
      <c r="E27" s="316"/>
      <c r="F27" s="316"/>
      <c r="G27" s="316">
        <f t="shared" si="1"/>
        <v>0</v>
      </c>
    </row>
    <row r="28" spans="1:7">
      <c r="A28" s="241" t="s">
        <v>456</v>
      </c>
      <c r="B28" s="276"/>
      <c r="C28" s="276"/>
      <c r="D28" s="316"/>
      <c r="E28" s="316"/>
      <c r="F28" s="316"/>
      <c r="G28" s="316">
        <f t="shared" si="1"/>
        <v>0</v>
      </c>
    </row>
    <row r="29" spans="1:7" ht="15.75" hidden="1" customHeight="1">
      <c r="A29" s="241"/>
      <c r="B29" s="276"/>
      <c r="C29" s="276"/>
      <c r="D29" s="316"/>
      <c r="E29" s="316"/>
      <c r="F29" s="316"/>
      <c r="G29" s="316">
        <f t="shared" si="1"/>
        <v>0</v>
      </c>
    </row>
    <row r="30" spans="1:7">
      <c r="A30" s="241" t="s">
        <v>457</v>
      </c>
      <c r="B30" s="276"/>
      <c r="C30" s="276"/>
      <c r="D30" s="316"/>
      <c r="E30" s="316"/>
      <c r="F30" s="316"/>
      <c r="G30" s="316">
        <f t="shared" si="1"/>
        <v>0</v>
      </c>
    </row>
    <row r="31" spans="1:7" hidden="1">
      <c r="A31" s="241"/>
      <c r="B31" s="276"/>
      <c r="C31" s="276"/>
      <c r="D31" s="316"/>
      <c r="E31" s="316"/>
      <c r="F31" s="316"/>
      <c r="G31" s="316"/>
    </row>
    <row r="32" spans="1:7">
      <c r="A32" s="241" t="s">
        <v>49</v>
      </c>
      <c r="B32" s="276"/>
      <c r="C32" s="276"/>
      <c r="D32" s="316"/>
      <c r="E32" s="316"/>
      <c r="F32" s="316"/>
      <c r="G32" s="316"/>
    </row>
    <row r="33" spans="1:7" hidden="1">
      <c r="A33" s="241"/>
      <c r="B33" s="276"/>
      <c r="C33" s="276"/>
      <c r="D33" s="316"/>
      <c r="E33" s="316"/>
      <c r="F33" s="316"/>
      <c r="G33" s="316"/>
    </row>
    <row r="34" spans="1:7">
      <c r="A34" s="241" t="s">
        <v>202</v>
      </c>
      <c r="B34" s="276"/>
      <c r="C34" s="276"/>
      <c r="D34" s="316"/>
      <c r="E34" s="316"/>
      <c r="F34" s="316"/>
      <c r="G34" s="316"/>
    </row>
    <row r="35" spans="1:7">
      <c r="A35" s="241" t="s">
        <v>50</v>
      </c>
      <c r="B35" s="276"/>
      <c r="C35" s="276"/>
      <c r="D35" s="316"/>
      <c r="E35" s="316"/>
      <c r="F35" s="316"/>
      <c r="G35" s="316"/>
    </row>
    <row r="36" spans="1:7" hidden="1">
      <c r="A36" s="241"/>
      <c r="B36" s="276"/>
      <c r="C36" s="276"/>
      <c r="D36" s="316"/>
      <c r="E36" s="316"/>
      <c r="F36" s="316"/>
      <c r="G36" s="316"/>
    </row>
    <row r="37" spans="1:7">
      <c r="A37" s="241" t="s">
        <v>458</v>
      </c>
      <c r="B37" s="276"/>
      <c r="C37" s="276"/>
      <c r="D37" s="316"/>
      <c r="E37" s="316"/>
      <c r="F37" s="316"/>
      <c r="G37" s="316"/>
    </row>
    <row r="38" spans="1:7" hidden="1">
      <c r="A38" s="241"/>
      <c r="B38" s="276"/>
      <c r="C38" s="276"/>
      <c r="D38" s="316"/>
      <c r="E38" s="316"/>
      <c r="F38" s="316"/>
      <c r="G38" s="316"/>
    </row>
    <row r="39" spans="1:7">
      <c r="A39" s="241" t="s">
        <v>459</v>
      </c>
      <c r="B39" s="276"/>
      <c r="C39" s="276"/>
      <c r="D39" s="316"/>
      <c r="E39" s="316"/>
      <c r="F39" s="316"/>
      <c r="G39" s="316"/>
    </row>
    <row r="40" spans="1:7" hidden="1">
      <c r="A40" s="241"/>
      <c r="B40" s="276"/>
      <c r="C40" s="276"/>
      <c r="D40" s="316"/>
      <c r="E40" s="316"/>
      <c r="F40" s="316"/>
      <c r="G40" s="316">
        <f t="shared" si="1"/>
        <v>0</v>
      </c>
    </row>
    <row r="41" spans="1:7">
      <c r="A41" s="242" t="s">
        <v>203</v>
      </c>
      <c r="B41" s="277"/>
      <c r="C41" s="277"/>
      <c r="D41" s="317"/>
      <c r="E41" s="317"/>
      <c r="F41" s="317"/>
      <c r="G41" s="317">
        <f t="shared" si="1"/>
        <v>0</v>
      </c>
    </row>
    <row r="42" spans="1:7">
      <c r="G42" s="268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2024-02-05T00:07:32Z</cp:lastPrinted>
  <dcterms:created xsi:type="dcterms:W3CDTF">2016-11-01T23:05:09Z</dcterms:created>
  <dcterms:modified xsi:type="dcterms:W3CDTF">2024-02-05T00:07:33Z</dcterms:modified>
</cp:coreProperties>
</file>