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C452B9C1-972B-4B17-8E41-D7827FCE9975}" xr6:coauthVersionLast="36" xr6:coauthVersionMax="36" xr10:uidLastSave="{00000000-0000-0000-0000-000000000000}"/>
  <bookViews>
    <workbookView xWindow="0" yWindow="0" windowWidth="28800" windowHeight="11400" tabRatio="800" activeTab="12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庫款差額!$A$1:$C$25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B17" i="11" l="1"/>
  <c r="B18" i="11"/>
  <c r="B16" i="11"/>
  <c r="E28" i="25" l="1"/>
  <c r="D28" i="25"/>
  <c r="D30" i="25"/>
  <c r="D27" i="25"/>
  <c r="D25" i="25"/>
  <c r="Z119" i="26"/>
  <c r="Y119" i="26"/>
  <c r="Y96" i="26"/>
  <c r="Y91" i="26"/>
  <c r="Y14" i="26"/>
  <c r="H21" i="25"/>
  <c r="H22" i="25"/>
  <c r="V28" i="1"/>
  <c r="N36" i="23"/>
  <c r="N35" i="23"/>
  <c r="N34" i="23"/>
  <c r="N32" i="23"/>
  <c r="N30" i="23"/>
  <c r="N28" i="23"/>
  <c r="N25" i="23"/>
  <c r="N24" i="23"/>
  <c r="N23" i="23"/>
  <c r="N21" i="23"/>
  <c r="P21" i="23" s="1"/>
  <c r="N20" i="23"/>
  <c r="P20" i="23" s="1"/>
  <c r="N19" i="23"/>
  <c r="N18" i="23"/>
  <c r="N16" i="23"/>
  <c r="N15" i="23"/>
  <c r="O9" i="14" l="1"/>
  <c r="O10" i="14" s="1"/>
  <c r="G17" i="21"/>
  <c r="G18" i="21"/>
  <c r="G19" i="21"/>
  <c r="G20" i="21"/>
  <c r="G21" i="21"/>
  <c r="G16" i="21"/>
  <c r="G22" i="21"/>
  <c r="G23" i="21"/>
  <c r="G24" i="21"/>
  <c r="N4" i="12" l="1"/>
  <c r="D29" i="24" l="1"/>
  <c r="C29" i="24"/>
  <c r="AG20" i="3" l="1"/>
  <c r="AG21" i="3"/>
  <c r="AG22" i="3"/>
  <c r="AG23" i="3"/>
  <c r="AG24" i="3"/>
  <c r="AG25" i="3"/>
  <c r="AG26" i="3"/>
  <c r="AG27" i="3"/>
  <c r="AG28" i="3"/>
  <c r="AG29" i="3"/>
  <c r="N38" i="23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N39" i="23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E6" i="25" l="1"/>
  <c r="D6" i="25"/>
  <c r="I17" i="23" l="1"/>
  <c r="N17" i="23" s="1"/>
  <c r="G31" i="25" l="1"/>
  <c r="I35" i="23" l="1"/>
  <c r="I33" i="23"/>
  <c r="N33" i="23" s="1"/>
  <c r="I31" i="23"/>
  <c r="N31" i="23" s="1"/>
  <c r="I29" i="23"/>
  <c r="N29" i="23" s="1"/>
  <c r="I27" i="23"/>
  <c r="N27" i="23" s="1"/>
  <c r="I24" i="23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N37" i="23" s="1"/>
  <c r="N40" i="23" s="1"/>
  <c r="J28" i="24"/>
  <c r="D31" i="24"/>
  <c r="E15" i="15"/>
  <c r="E20" i="15"/>
  <c r="E21" i="15"/>
  <c r="G11" i="15"/>
  <c r="E13" i="25" l="1"/>
  <c r="G13" i="25" s="1"/>
  <c r="D13" i="25" s="1"/>
  <c r="H10" i="25" s="1"/>
  <c r="I40" i="23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I49" i="16" s="1"/>
  <c r="L43" i="16"/>
  <c r="L49" i="16" s="1"/>
  <c r="M35" i="16"/>
  <c r="M43" i="16" l="1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5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2" i="11"/>
  <c r="P5" i="12" s="1"/>
  <c r="P3" i="12" s="1"/>
  <c r="C19" i="11"/>
  <c r="F9" i="15" l="1"/>
  <c r="F9" i="25"/>
  <c r="C25" i="11"/>
  <c r="F5" i="25"/>
  <c r="N5" i="12"/>
  <c r="F5" i="15"/>
  <c r="N3" i="12" l="1"/>
  <c r="E25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<sst xmlns="http://schemas.openxmlformats.org/spreadsheetml/2006/main" count="999" uniqueCount="782">
  <si>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</si>
  <si>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</si>
  <si>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</si>
  <si>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</si>
  <si>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</si>
  <si>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</si>
  <si>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</si>
  <si>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</si>
  <si>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</si>
  <si>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</si>
  <si>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</si>
  <si>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</si>
  <si>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</si>
  <si>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</si>
  <si>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</si>
  <si>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</si>
  <si>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</si>
  <si>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</si>
  <si>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</si>
  <si>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</si>
  <si>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</si>
  <si>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</si>
  <si>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</si>
  <si>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</si>
  <si>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</si>
  <si>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</si>
  <si>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</si>
  <si>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</si>
  <si>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</si>
  <si>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</si>
  <si>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</si>
  <si>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</si>
  <si>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</si>
  <si>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</si>
  <si>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</si>
  <si>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</si>
  <si>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</si>
  <si>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</si>
  <si>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</si>
  <si>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</si>
  <si>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</si>
  <si>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</si>
  <si>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</si>
  <si>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</si>
  <si>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</si>
  <si>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</si>
  <si>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</si>
  <si>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</si>
  <si>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</si>
  <si>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</si>
  <si>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</si>
  <si>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</si>
  <si>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</si>
  <si>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</si>
  <si>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</si>
  <si>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</si>
  <si>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</si>
  <si>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</si>
  <si>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</si>
  <si>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</si>
  <si>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</si>
  <si>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</si>
  <si>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</si>
  <si>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</si>
  <si>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</si>
  <si>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</si>
  <si>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</si>
  <si>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</si>
  <si>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</si>
  <si>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</si>
  <si>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</si>
  <si>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</si>
  <si>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</si>
  <si>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</si>
  <si>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</si>
  <si>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</si>
  <si>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</si>
  <si>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</si>
  <si>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</si>
  <si>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</si>
  <si>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</si>
  <si>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</si>
  <si>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</si>
  <si>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</si>
  <si>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</si>
  <si>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</si>
  <si>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</si>
  <si>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</si>
  <si>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</si>
  <si>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</si>
  <si>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</si>
  <si>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</si>
  <si>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</si>
  <si>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</si>
  <si>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</si>
  <si>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</si>
  <si>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</si>
  <si>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</si>
  <si>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</si>
  <si>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</si>
  <si>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</si>
  <si>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</si>
  <si>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</si>
  <si>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</si>
  <si>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</si>
  <si>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</si>
  <si>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</si>
  <si>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</si>
  <si>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</si>
  <si>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</si>
  <si>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</si>
  <si>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</si>
  <si>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</si>
  <si>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</si>
  <si>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</si>
  <si>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</si>
  <si>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</si>
  <si>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</si>
  <si>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</si>
  <si>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</si>
  <si>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</si>
  <si>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</si>
  <si>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</si>
  <si>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</si>
  <si>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</si>
  <si>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</si>
  <si>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</si>
  <si>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</si>
  <si>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</si>
  <si>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</si>
  <si>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</si>
  <si>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</si>
  <si>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</si>
  <si>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</si>
  <si>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</si>
  <si>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</si>
  <si>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</si>
  <si>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</si>
  <si>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</si>
  <si>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</si>
  <si>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</si>
  <si>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</si>
  <si>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</si>
  <si>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</si>
  <si>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</si>
  <si>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</si>
  <si>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</si>
  <si>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</si>
  <si>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</si>
  <si>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</si>
  <si>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</si>
  <si>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</si>
  <si>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</si>
  <si>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</si>
  <si>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</si>
  <si>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</si>
  <si>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</si>
  <si>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</si>
  <si>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</si>
  <si>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</si>
  <si>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</si>
  <si>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</si>
  <si>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</si>
  <si>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</si>
  <si>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</si>
  <si>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</si>
  <si>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</si>
  <si>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</si>
  <si>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</si>
  <si>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</si>
  <si>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</si>
  <si>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</si>
  <si>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</si>
  <si>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</si>
  <si>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</si>
  <si>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</si>
  <si>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</si>
  <si>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</si>
  <si>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</si>
  <si>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</si>
  <si>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</si>
  <si>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</si>
  <si>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</si>
  <si>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</si>
  <si>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</si>
  <si>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</si>
  <si>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</si>
  <si>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</si>
  <si>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</si>
  <si>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</si>
  <si>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</si>
  <si>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</si>
  <si>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</si>
  <si>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</si>
  <si>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</si>
  <si>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</si>
  <si>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</si>
  <si>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</si>
  <si>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</si>
  <si>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</si>
  <si>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</si>
  <si>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</si>
  <si>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</si>
  <si>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</si>
  <si>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</si>
  <si>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</si>
  <si>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</si>
  <si>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</si>
  <si>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</si>
  <si>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</si>
  <si>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</si>
  <si>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</si>
  <si>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</si>
  <si>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</si>
  <si>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</si>
  <si>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</si>
  <si>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</si>
  <si>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</si>
  <si>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</si>
  <si>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</si>
  <si>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</si>
  <si>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</si>
  <si>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</si>
  <si>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</si>
  <si>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</si>
  <si>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</si>
  <si>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</si>
  <si>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</si>
  <si>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</si>
  <si>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</si>
  <si>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</si>
  <si>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</si>
  <si>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</si>
  <si>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</si>
  <si>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</si>
  <si>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</si>
  <si>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</si>
  <si>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</si>
  <si>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</si>
  <si>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</si>
  <si>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</si>
  <si>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</si>
  <si>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</si>
  <si>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</si>
  <si>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</si>
  <si>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</si>
  <si>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</si>
  <si>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</si>
  <si>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</si>
  <si>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</si>
  <si>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</si>
  <si>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</si>
  <si>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</si>
  <si>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</si>
  <si>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</si>
  <si>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</si>
  <si>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</si>
  <si>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</si>
  <si>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</si>
  <si>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</si>
  <si>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</si>
  <si>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</si>
  <si>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</si>
  <si>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</si>
  <si>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</si>
  <si>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</si>
  <si>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</si>
  <si>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</si>
  <si>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</si>
  <si>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</si>
  <si>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</si>
  <si>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</si>
  <si>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</si>
  <si>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</si>
  <si>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</si>
  <si>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</si>
  <si>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</si>
  <si>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</si>
  <si>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</si>
  <si>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</si>
  <si>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</si>
  <si>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</si>
  <si>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</si>
  <si>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</si>
  <si>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</si>
  <si>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</si>
  <si>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</si>
  <si>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</si>
  <si>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</si>
  <si>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</si>
  <si>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</si>
  <si>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</si>
  <si>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</si>
  <si>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</si>
  <si>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</si>
  <si>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</si>
  <si>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</si>
  <si>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</si>
  <si>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</si>
  <si>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</si>
  <si>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</si>
  <si>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</si>
  <si>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</si>
  <si>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</si>
  <si>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</si>
  <si>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</si>
  <si>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</si>
  <si>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</si>
  <si>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</si>
  <si>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</si>
  <si>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</si>
  <si>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</si>
  <si>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</si>
  <si>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</si>
  <si>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</si>
  <si>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</si>
  <si>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</si>
  <si>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</si>
  <si>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</si>
  <si>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</si>
  <si>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</si>
  <si>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</si>
  <si>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</si>
  <si>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</si>
  <si>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</si>
  <si>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</si>
  <si>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</si>
  <si>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</si>
  <si>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</si>
  <si>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</si>
  <si>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</si>
  <si>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</si>
  <si>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</si>
  <si>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</si>
  <si>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</si>
  <si>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</si>
  <si>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</si>
  <si>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</si>
  <si>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</si>
  <si>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</si>
  <si>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</si>
  <si>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</si>
  <si>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</si>
  <si>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</si>
  <si>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</si>
  <si>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</si>
  <si>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</si>
  <si>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</si>
  <si>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</si>
  <si>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</si>
  <si>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</si>
  <si>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</si>
  <si>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</si>
  <si>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</si>
  <si>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</si>
  <si>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</si>
  <si>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</si>
  <si>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</si>
  <si>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</si>
  <si>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</si>
  <si>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</si>
  <si>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</si>
  <si>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</si>
  <si>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</si>
  <si>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</si>
  <si>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</si>
  <si>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</si>
  <si>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</si>
  <si>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</si>
  <si>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</si>
  <si>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</si>
  <si>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</si>
  <si>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</si>
  <si>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</si>
  <si>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</si>
  <si>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</si>
  <si>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</si>
  <si>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</si>
  <si>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</si>
  <si>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</si>
  <si>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</si>
  <si>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</si>
  <si>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</si>
  <si>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</si>
  <si>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</si>
  <si>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</si>
  <si>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</si>
  <si>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</si>
  <si>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</si>
  <si>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</si>
  <si>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</si>
  <si>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</si>
  <si>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</si>
  <si>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</si>
  <si>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</si>
  <si>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</si>
  <si>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</si>
  <si>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</si>
  <si>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</si>
  <si>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</si>
  <si>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</si>
  <si>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</si>
  <si>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</si>
  <si>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</si>
  <si>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</si>
  <si>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</si>
  <si>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</si>
  <si>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</si>
  <si>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</si>
  <si>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</si>
  <si>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</si>
  <si>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</si>
  <si>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</si>
  <si>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</si>
  <si>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</si>
  <si>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</si>
  <si>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</si>
  <si>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</si>
  <si>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</si>
  <si>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</si>
  <si>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</si>
  <si>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</si>
  <si>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</si>
  <si>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</si>
  <si>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</si>
  <si>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</si>
  <si>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</si>
  <si>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</si>
  <si>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</si>
  <si>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</si>
  <si>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</si>
  <si>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</si>
  <si>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</si>
  <si>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</si>
  <si>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</si>
  <si>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</si>
  <si>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</si>
  <si>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</si>
  <si>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</si>
  <si>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</si>
  <si>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</si>
  <si>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</si>
  <si>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</si>
  <si>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</si>
  <si>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</si>
  <si>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</si>
  <si>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</si>
  <si>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</si>
  <si>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</si>
  <si>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</si>
  <si>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</si>
  <si>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</si>
  <si>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</si>
  <si>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</si>
  <si>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</si>
  <si>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</si>
  <si>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</si>
  <si>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</si>
  <si>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</si>
  <si>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</si>
  <si>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</si>
  <si>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</si>
  <si>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考量校園環境衛生避免孳生蚊蟲，寶特瓶等容器改為每週由清潔隊少量無償回收，及廢紙市場行情暴跌，致資源回收收入鉅減。</t>
    <phoneticPr fontId="10" type="noConversion"/>
  </si>
  <si>
    <t>因冷氣儲值收入增加。</t>
    <phoneticPr fontId="10" type="noConversion"/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</si>
  <si>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</si>
  <si>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</si>
  <si>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資    產</t>
  </si>
  <si>
    <t>流動資產</t>
  </si>
  <si>
    <t>現金</t>
  </si>
  <si>
    <t>銀行存款</t>
  </si>
  <si>
    <t>銀行存款-縣庫存款</t>
  </si>
  <si>
    <t>銀行存款-專戶存款</t>
  </si>
  <si>
    <t>零用及週轉金</t>
  </si>
  <si>
    <t>預付款項</t>
  </si>
  <si>
    <t>其他預付款</t>
  </si>
  <si>
    <t>固定資產</t>
  </si>
  <si>
    <t>累計折舊-土地改良物</t>
  </si>
  <si>
    <t>房屋建築及設備</t>
  </si>
  <si>
    <t>累計折舊-房屋建築及設備</t>
  </si>
  <si>
    <t>累計折舊-機械及設備</t>
  </si>
  <si>
    <t>累計折舊-交通及運輸設備</t>
  </si>
  <si>
    <t>累計折舊-雜項設備</t>
  </si>
  <si>
    <t>合計：</t>
  </si>
  <si>
    <t>1</t>
  </si>
  <si>
    <t>11</t>
  </si>
  <si>
    <t>1101</t>
  </si>
  <si>
    <t>110102</t>
  </si>
  <si>
    <t>110102-1</t>
  </si>
  <si>
    <t>110102-2</t>
  </si>
  <si>
    <t>110103</t>
  </si>
  <si>
    <t>1108</t>
  </si>
  <si>
    <t>110899</t>
  </si>
  <si>
    <t>14</t>
  </si>
  <si>
    <t>1401</t>
  </si>
  <si>
    <t>140101</t>
  </si>
  <si>
    <t>1402</t>
  </si>
  <si>
    <t>140201</t>
  </si>
  <si>
    <t>140202</t>
  </si>
  <si>
    <t>1404</t>
  </si>
  <si>
    <t>140401</t>
  </si>
  <si>
    <t>140402</t>
  </si>
  <si>
    <t>1405</t>
  </si>
  <si>
    <t>140501</t>
  </si>
  <si>
    <t>140502</t>
  </si>
  <si>
    <t>1406</t>
  </si>
  <si>
    <t>140601</t>
  </si>
  <si>
    <t>140602</t>
  </si>
  <si>
    <t>1407</t>
  </si>
  <si>
    <t>140701</t>
  </si>
  <si>
    <t>140702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</si>
  <si>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</si>
  <si>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</si>
  <si>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</si>
  <si>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</si>
  <si>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</si>
  <si>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</si>
  <si>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</si>
  <si>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</si>
  <si>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</si>
  <si>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</si>
  <si>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</si>
  <si>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</si>
  <si>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</si>
  <si>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</si>
  <si>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</si>
  <si>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</si>
  <si>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</si>
  <si>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</si>
  <si>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</si>
  <si>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</si>
  <si>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</si>
  <si>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</si>
  <si>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</si>
  <si>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</si>
  <si>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</si>
  <si>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</si>
  <si>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</si>
  <si>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</si>
  <si>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</si>
  <si>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</si>
  <si>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</si>
  <si>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</si>
  <si>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</si>
  <si>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</si>
  <si>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</si>
  <si>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</si>
  <si>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</si>
  <si>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</si>
  <si>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</si>
  <si>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</si>
  <si>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</si>
  <si>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</si>
  <si>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</si>
  <si>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</si>
  <si>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</si>
  <si>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</si>
  <si>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</si>
  <si>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</si>
  <si>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</si>
  <si>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</si>
  <si>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</si>
  <si>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</si>
  <si>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</si>
  <si>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</si>
  <si>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</si>
  <si>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-43.24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</si>
  <si>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</si>
  <si>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</si>
  <si>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</si>
  <si>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</si>
  <si>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</si>
  <si>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</si>
  <si>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</si>
  <si>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</si>
  <si>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</si>
  <si>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</si>
  <si>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</si>
  <si>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</si>
  <si>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</si>
  <si>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</si>
  <si>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</si>
  <si>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</si>
  <si>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</si>
  <si>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</si>
  <si>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</si>
  <si>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</si>
  <si>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</si>
  <si>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</si>
  <si>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</si>
  <si>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</si>
  <si>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</si>
  <si>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</si>
  <si>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</si>
  <si>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</si>
  <si>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</si>
  <si>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</si>
  <si>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</si>
  <si>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</si>
  <si>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</si>
  <si>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</si>
  <si>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</si>
  <si>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</si>
  <si>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</si>
  <si>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</si>
  <si>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</si>
  <si>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</si>
  <si>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</si>
  <si>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</si>
  <si>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</si>
  <si>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</si>
  <si>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-77.01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</si>
  <si>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</si>
  <si>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</si>
  <si>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</si>
  <si>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</si>
  <si>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</si>
  <si>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</si>
  <si>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</si>
  <si>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</si>
  <si>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</si>
  <si>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</si>
  <si>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</si>
  <si>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</si>
  <si>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-10.18</t>
  </si>
  <si>
    <t>41</t>
  </si>
  <si>
    <t>地租及水租</t>
  </si>
  <si>
    <t>411</t>
  </si>
  <si>
    <t>一般土地租金</t>
  </si>
  <si>
    <t>45</t>
  </si>
  <si>
    <t>雜項設備租金</t>
  </si>
  <si>
    <t>451</t>
  </si>
  <si>
    <t>7</t>
  </si>
  <si>
    <t>會費、捐助、補助、分攤、照護、救濟與交流活動費</t>
  </si>
  <si>
    <t>-68.36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</si>
  <si>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</si>
  <si>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</si>
  <si>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</si>
  <si>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</si>
  <si>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</si>
  <si>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</si>
  <si>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</si>
  <si>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</si>
  <si>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</si>
  <si>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</si>
  <si>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</si>
  <si>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</si>
  <si>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</si>
  <si>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-99.30</t>
  </si>
  <si>
    <t>91</t>
  </si>
  <si>
    <t>其他支出</t>
  </si>
  <si>
    <t>91Y</t>
  </si>
  <si>
    <t>合       計</t>
  </si>
  <si>
    <t>-17.50</t>
  </si>
  <si>
    <t>-18.81</t>
  </si>
  <si>
    <t>11253017580030100</t>
  </si>
  <si>
    <t>地方教育發展基金</t>
  </si>
  <si>
    <t/>
  </si>
  <si>
    <t>上期結餘</t>
  </si>
  <si>
    <t>112/09/01</t>
  </si>
  <si>
    <t>00070</t>
  </si>
  <si>
    <t>0900077</t>
  </si>
  <si>
    <t>支付數</t>
  </si>
  <si>
    <t>00071</t>
  </si>
  <si>
    <t>0900078</t>
  </si>
  <si>
    <t>112/09/08</t>
  </si>
  <si>
    <t>00072</t>
  </si>
  <si>
    <t>0901447</t>
  </si>
  <si>
    <t>112/09/12</t>
  </si>
  <si>
    <t>00073</t>
  </si>
  <si>
    <t>0901999</t>
  </si>
  <si>
    <t>112/09/14</t>
  </si>
  <si>
    <t>00074</t>
  </si>
  <si>
    <t>0902499</t>
  </si>
  <si>
    <t>112/09/21</t>
  </si>
  <si>
    <t>13994620146708</t>
  </si>
  <si>
    <t>收入數</t>
  </si>
  <si>
    <t>112/09/22</t>
  </si>
  <si>
    <t>13997020146778</t>
  </si>
  <si>
    <t>112/09/28</t>
  </si>
  <si>
    <t>00075</t>
  </si>
  <si>
    <t>0905295</t>
  </si>
  <si>
    <t>00076</t>
  </si>
  <si>
    <t>0905296</t>
  </si>
  <si>
    <t>小計</t>
  </si>
  <si>
    <t>112年5-6月份變賣報廢財物自有財源收入</t>
    <phoneticPr fontId="10" type="noConversion"/>
  </si>
  <si>
    <t>112年上半年太陽光電經營年租金(安集)</t>
    <phoneticPr fontId="10" type="noConversion"/>
  </si>
  <si>
    <t>112學年度強制休假補助</t>
    <phoneticPr fontId="10" type="noConversion"/>
  </si>
  <si>
    <t>175-1</t>
  </si>
  <si>
    <t>彰化縣地方教育發展基金－彰化縣秀水鄉馬興國民小學</t>
  </si>
  <si>
    <t>代收代辦經費收支餘額表</t>
  </si>
  <si>
    <t>中華民國112年1月1日至112年9月30日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</si>
  <si>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</si>
  <si>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</si>
  <si>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</si>
  <si>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</si>
  <si>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</si>
  <si>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</si>
  <si>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</si>
  <si>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</si>
  <si>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</si>
  <si>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</si>
  <si>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</si>
  <si>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</si>
  <si>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</si>
  <si>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</si>
  <si>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</si>
  <si>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</si>
  <si>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BA0008  應付代收款-保管戶#94121-二代健保自付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</si>
  <si>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</si>
  <si>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</si>
  <si>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</si>
  <si>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</si>
  <si>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</si>
  <si>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BA0099  應付代收款-保管戶#94121-其他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</si>
  <si>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</si>
  <si>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</si>
  <si>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</si>
  <si>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</si>
  <si>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</si>
  <si>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</si>
  <si>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</si>
  <si>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</si>
  <si>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CB0013  應付代收款-保管戶#94121-烏克麗麗社團</t>
  </si>
  <si>
    <t>CB0015  應付代收款-保管戶#94121-輕黏土社團</t>
  </si>
  <si>
    <t>CB0018  應付代收款-保管戶#94121-空靈鼓社團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</si>
  <si>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</si>
  <si>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</si>
  <si>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</si>
  <si>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</si>
  <si>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</si>
  <si>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</si>
  <si>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</si>
  <si>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</si>
  <si>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</si>
  <si>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</si>
  <si>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</si>
  <si>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</si>
  <si>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</si>
  <si>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</si>
  <si>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</si>
  <si>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</si>
  <si>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</si>
  <si>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</si>
  <si>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</si>
  <si>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</si>
  <si>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</si>
  <si>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</si>
  <si>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</si>
  <si>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</si>
  <si>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</si>
  <si>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</si>
  <si>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</si>
  <si>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</si>
  <si>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</si>
  <si>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</si>
  <si>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</si>
  <si>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</si>
  <si>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</si>
  <si>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</si>
  <si>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</si>
  <si>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</si>
  <si>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</si>
  <si>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</si>
  <si>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</si>
  <si>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YA1201  存入保證金-#94121-履約保證金-112年度外訂午餐採購(豐成)</t>
  </si>
  <si>
    <t>YA1202  存入保證金-#94121-履約保證金-112年度學童個人木製課桌椅(合青)</t>
  </si>
  <si>
    <t>YA1203  存入保證金-#94121-履約保證金-校園西南側停車場地坪修繕工程(中星)</t>
  </si>
  <si>
    <t>YA1204  存入保證金-#94121-履約保證金-活動中心冷氣機裝設及電力改善工程(統良)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</si>
  <si>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</si>
  <si>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</si>
  <si>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</si>
  <si>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</si>
  <si>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</si>
  <si>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</si>
  <si>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</si>
  <si>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</si>
  <si>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ZA1202  存入保證金-#94121-保固金-活動中心舞台布幕設備(亦達114.7.18)</t>
  </si>
  <si>
    <t>ZA1203  存入保證金-#94121-保固金-活動中心照明設備(亦達114.7.18)</t>
  </si>
  <si>
    <t>ZA1204  存入保證金-#94121-保固金-活動中心廣播視聽設備(神奕114.8.14)</t>
  </si>
  <si>
    <t>總和 :</t>
  </si>
  <si>
    <t>13998520147138</t>
  </si>
  <si>
    <t>1110504~1120630太陽光電經營年租金(中租)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</si>
</sst>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1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1"/>
      <color theme="1"/>
      <name val="標楷體"/>
      <family val="4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910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3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5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0" fontId="0" fillId="0" borderId="12" xfId="0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6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8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4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4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4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4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0" fillId="0" borderId="0" xfId="7" applyNumberFormat="1" applyFont="1" applyFill="1" applyAlignment="1">
      <alignment horizontal="right" vertical="top"/>
    </xf>
    <xf numFmtId="0" fontId="95" fillId="0" borderId="0" xfId="0" applyFont="1">
      <alignment vertical="top"/>
    </xf>
    <xf numFmtId="180" fontId="92" fillId="0" borderId="13" xfId="7" applyNumberFormat="1" applyFont="1" applyFill="1" applyBorder="1" applyAlignment="1">
      <alignment horizontal="center" vertical="top"/>
    </xf>
    <xf numFmtId="180" fontId="92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2" fillId="0" borderId="15" xfId="7" applyNumberFormat="1" applyFont="1" applyFill="1" applyBorder="1" applyAlignment="1">
      <alignment horizontal="right" vertical="top"/>
    </xf>
    <xf numFmtId="177" fontId="81" fillId="7" borderId="13" xfId="7" applyNumberFormat="1" applyFont="1" applyFill="1" applyBorder="1" applyAlignment="1" applyProtection="1">
      <alignment horizontal="right"/>
      <protection locked="0"/>
    </xf>
    <xf numFmtId="0" fontId="97" fillId="0" borderId="13" xfId="0" applyFont="1" applyBorder="1" applyAlignment="1" applyProtection="1">
      <protection locked="0"/>
    </xf>
    <xf numFmtId="0" fontId="97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8" fillId="0" borderId="11" xfId="7" applyNumberFormat="1" applyFont="1" applyBorder="1" applyAlignment="1">
      <alignment vertical="top"/>
    </xf>
    <xf numFmtId="176" fontId="99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7" fillId="0" borderId="0" xfId="0" applyFont="1" applyAlignment="1"/>
    <xf numFmtId="0" fontId="100" fillId="0" borderId="0" xfId="0" applyFont="1" applyAlignment="1"/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5" fillId="0" borderId="0" xfId="0" applyFont="1" applyAlignment="1">
      <alignment horizontal="left" vertical="top"/>
    </xf>
    <xf numFmtId="0" fontId="7" fillId="0" borderId="0" xfId="0" applyFont="1" applyAlignment="1"/>
    <xf numFmtId="0" fontId="101" fillId="0" borderId="0" xfId="0" applyFont="1" applyAlignment="1" applyProtection="1">
      <protection locked="0"/>
    </xf>
    <xf numFmtId="0" fontId="101" fillId="0" borderId="0" xfId="0" applyFont="1" applyAlignment="1" applyProtection="1">
      <alignment horizontal="left"/>
      <protection locked="0"/>
    </xf>
    <xf numFmtId="180" fontId="101" fillId="0" borderId="0" xfId="7" applyNumberFormat="1" applyFont="1" applyAlignment="1" applyProtection="1">
      <alignment horizontal="center"/>
      <protection locked="0"/>
    </xf>
    <xf numFmtId="177" fontId="102" fillId="0" borderId="0" xfId="7" applyNumberFormat="1" applyFont="1" applyAlignment="1" applyProtection="1">
      <alignment horizontal="right"/>
      <protection locked="0"/>
    </xf>
    <xf numFmtId="0" fontId="102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protection locked="0"/>
    </xf>
    <xf numFmtId="0" fontId="104" fillId="0" borderId="0" xfId="0" applyFont="1" applyAlignment="1" applyProtection="1">
      <protection locked="0"/>
    </xf>
    <xf numFmtId="0" fontId="103" fillId="0" borderId="0" xfId="0" applyFont="1" applyAlignment="1" applyProtection="1">
      <protection locked="0"/>
    </xf>
    <xf numFmtId="180" fontId="103" fillId="0" borderId="0" xfId="0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alignment horizontal="center"/>
      <protection locked="0"/>
    </xf>
    <xf numFmtId="0" fontId="7" fillId="0" borderId="0" xfId="0" applyFont="1" applyAlignment="1"/>
    <xf numFmtId="180" fontId="103" fillId="0" borderId="0" xfId="7" applyNumberFormat="1" applyFont="1" applyAlignment="1" applyProtection="1">
      <alignment horizontal="center" vertical="center"/>
      <protection locked="0"/>
    </xf>
    <xf numFmtId="176" fontId="8" fillId="0" borderId="11" xfId="0" applyNumberFormat="1" applyFont="1" applyBorder="1" applyAlignment="1">
      <alignment horizontal="left" vertical="top" wrapText="1"/>
    </xf>
    <xf numFmtId="3" fontId="105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4"/>
    </xf>
    <xf numFmtId="3" fontId="3" fillId="0" borderId="0" xfId="0" applyNumberFormat="1" applyFont="1" applyAlignment="1">
      <alignment horizontal="right" vertical="top"/>
    </xf>
    <xf numFmtId="0" fontId="108" fillId="0" borderId="0" xfId="0" applyFont="1" applyAlignment="1">
      <alignment horizontal="left" vertical="top" wrapText="1" readingOrder="1"/>
    </xf>
    <xf numFmtId="3" fontId="109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91" fillId="0" borderId="0" xfId="0" applyFont="1">
      <alignment vertical="top"/>
    </xf>
    <xf numFmtId="0" fontId="91" fillId="13" borderId="0" xfId="0" applyFont="1" applyFill="1">
      <alignment vertical="top"/>
    </xf>
    <xf numFmtId="0" fontId="91" fillId="14" borderId="0" xfId="0" applyFont="1" applyFill="1">
      <alignment vertical="top"/>
    </xf>
    <xf numFmtId="0" fontId="91" fillId="15" borderId="0" xfId="0" applyFont="1" applyFill="1">
      <alignment vertical="top"/>
    </xf>
    <xf numFmtId="0" fontId="91" fillId="16" borderId="0" xfId="0" applyFont="1" applyFill="1">
      <alignment vertical="top"/>
    </xf>
    <xf numFmtId="3" fontId="91" fillId="14" borderId="0" xfId="0" applyNumberFormat="1" applyFont="1" applyFill="1">
      <alignment vertical="top"/>
    </xf>
    <xf numFmtId="3" fontId="91" fillId="15" borderId="0" xfId="0" applyNumberFormat="1" applyFont="1" applyFill="1">
      <alignment vertical="top"/>
    </xf>
    <xf numFmtId="3" fontId="91" fillId="16" borderId="0" xfId="0" applyNumberFormat="1" applyFont="1" applyFill="1">
      <alignment vertical="top"/>
    </xf>
    <xf numFmtId="3" fontId="0" fillId="16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106" fillId="0" borderId="0" xfId="0" applyFont="1" applyAlignment="1">
      <alignment horizontal="right" vertical="top"/>
    </xf>
    <xf numFmtId="0" fontId="107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3" fontId="109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 readingOrder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8" fillId="0" borderId="3" xfId="0" applyFont="1" applyBorder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6" xfId="0" applyNumberFormat="1" applyFont="1" applyBorder="1" applyAlignment="1">
      <alignment horizontal="right" vertical="top" wrapText="1"/>
    </xf>
    <xf numFmtId="176" fontId="8" fillId="0" borderId="7" xfId="0" applyNumberFormat="1" applyFont="1" applyBorder="1" applyAlignment="1">
      <alignment horizontal="right" vertical="top" wrapText="1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63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6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8372953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33119710</v>
          </cell>
        </row>
        <row r="15">
          <cell r="N15">
            <v>5923</v>
          </cell>
        </row>
        <row r="16">
          <cell r="N16">
            <v>5923</v>
          </cell>
        </row>
        <row r="17">
          <cell r="N17">
            <v>4509927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2244385</v>
          </cell>
        </row>
        <row r="21">
          <cell r="N21">
            <v>2265542</v>
          </cell>
        </row>
        <row r="22">
          <cell r="N22">
            <v>28603013</v>
          </cell>
        </row>
        <row r="23">
          <cell r="N23">
            <v>28603013</v>
          </cell>
        </row>
        <row r="24">
          <cell r="N24">
            <v>847</v>
          </cell>
        </row>
        <row r="25">
          <cell r="N25">
            <v>847</v>
          </cell>
        </row>
        <row r="26">
          <cell r="N26">
            <v>28943306</v>
          </cell>
        </row>
        <row r="27">
          <cell r="N27">
            <v>25724025</v>
          </cell>
        </row>
        <row r="28">
          <cell r="N28">
            <v>25724025</v>
          </cell>
        </row>
        <row r="29">
          <cell r="N29">
            <v>1060741</v>
          </cell>
        </row>
        <row r="30">
          <cell r="N30">
            <v>1060741</v>
          </cell>
        </row>
        <row r="31">
          <cell r="N31">
            <v>649</v>
          </cell>
        </row>
        <row r="32">
          <cell r="N32">
            <v>649</v>
          </cell>
        </row>
        <row r="33">
          <cell r="N33">
            <v>2157571</v>
          </cell>
        </row>
        <row r="34">
          <cell r="N34">
            <v>2157571</v>
          </cell>
        </row>
        <row r="35">
          <cell r="N35">
            <v>320</v>
          </cell>
        </row>
        <row r="36">
          <cell r="N36">
            <v>320</v>
          </cell>
        </row>
        <row r="37">
          <cell r="N37">
            <v>4176404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15" t="s">
        <v>278</v>
      </c>
      <c r="B4" s="616"/>
      <c r="C4" s="616"/>
      <c r="D4" s="616"/>
      <c r="E4" s="616"/>
      <c r="F4" s="616"/>
      <c r="G4" s="616"/>
      <c r="H4" s="616"/>
      <c r="I4" s="616"/>
      <c r="J4" s="616"/>
      <c r="K4" s="616"/>
      <c r="L4" s="616"/>
      <c r="M4" s="616"/>
      <c r="N4" s="616"/>
    </row>
    <row r="5" spans="1:14" ht="59.25" customHeight="1"/>
    <row r="6" spans="1:14" ht="59.25" customHeight="1"/>
    <row r="7" spans="1:14" ht="36.75">
      <c r="C7" s="617" t="s">
        <v>117</v>
      </c>
      <c r="D7" s="617"/>
      <c r="E7" s="617"/>
      <c r="F7" s="617"/>
      <c r="G7" s="617"/>
      <c r="H7" s="617"/>
      <c r="I7" s="617"/>
      <c r="J7" s="617"/>
      <c r="K7" s="617"/>
      <c r="L7" s="617"/>
    </row>
    <row r="8" spans="1:14" ht="51.75" customHeight="1"/>
    <row r="9" spans="1:14" ht="51.75" customHeight="1"/>
    <row r="10" spans="1:14" s="65" customFormat="1" ht="32.25">
      <c r="C10" s="321"/>
      <c r="D10" s="321"/>
      <c r="E10" s="618" t="s">
        <v>118</v>
      </c>
      <c r="F10" s="618"/>
      <c r="G10" s="618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19" t="s">
        <v>121</v>
      </c>
      <c r="C15" s="619"/>
      <c r="D15" s="619"/>
      <c r="E15" s="619"/>
      <c r="F15" s="619"/>
      <c r="H15" s="320"/>
      <c r="I15" s="320" t="s">
        <v>122</v>
      </c>
      <c r="J15" s="320"/>
      <c r="K15" s="320"/>
      <c r="L15" s="320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M12" sqref="M12:M15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20" t="str">
        <f>封面!$A$4</f>
        <v>彰化縣地方教育發展基金－彰化縣秀水鄉馬興國民小學</v>
      </c>
      <c r="B1" s="720"/>
      <c r="C1" s="720"/>
      <c r="D1" s="720"/>
      <c r="E1" s="720"/>
      <c r="F1" s="720"/>
      <c r="G1" s="720"/>
      <c r="H1" s="720"/>
      <c r="I1" s="720"/>
      <c r="J1" s="720"/>
      <c r="K1" s="720"/>
      <c r="L1" s="720"/>
      <c r="M1" s="720"/>
      <c r="N1" s="720"/>
      <c r="O1" s="720"/>
      <c r="P1" s="720"/>
      <c r="Q1" s="720"/>
      <c r="R1" s="720"/>
      <c r="S1" s="720"/>
      <c r="T1" s="720"/>
      <c r="U1" s="720"/>
      <c r="V1" s="719"/>
      <c r="W1" s="719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74"/>
      <c r="T3" s="774"/>
      <c r="U3" s="774"/>
      <c r="V3" s="774"/>
      <c r="W3" s="774"/>
    </row>
    <row r="4" spans="1:23" ht="19.5">
      <c r="A4" s="720" t="s">
        <v>453</v>
      </c>
      <c r="B4" s="720"/>
      <c r="C4" s="720"/>
      <c r="D4" s="720"/>
      <c r="E4" s="720"/>
      <c r="F4" s="720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</row>
    <row r="5" spans="1:23" ht="19.5" customHeight="1">
      <c r="A5" s="721" t="str">
        <f>封面!$E$10&amp;封面!$H$10&amp;封面!$I$10&amp;封面!$J$10&amp;封面!$K$10&amp;封面!L10</f>
        <v>中華民國112年9月份</v>
      </c>
      <c r="B5" s="721"/>
      <c r="C5" s="721"/>
      <c r="D5" s="721"/>
      <c r="E5" s="721"/>
      <c r="F5" s="721"/>
      <c r="G5" s="721"/>
      <c r="H5" s="721"/>
      <c r="I5" s="721"/>
      <c r="J5" s="721"/>
      <c r="K5" s="721"/>
      <c r="L5" s="721"/>
      <c r="M5" s="721"/>
      <c r="N5" s="721"/>
      <c r="O5" s="721"/>
      <c r="P5" s="721"/>
      <c r="Q5" s="721"/>
      <c r="R5" s="721"/>
      <c r="S5" s="721"/>
      <c r="T5" s="721"/>
      <c r="U5" s="721"/>
      <c r="V5" s="721"/>
      <c r="W5" s="721"/>
    </row>
    <row r="6" spans="1:23" ht="12.75" hidden="1">
      <c r="A6" s="721"/>
      <c r="B6" s="721"/>
      <c r="C6" s="721"/>
      <c r="D6" s="721"/>
      <c r="E6" s="721"/>
      <c r="F6" s="721"/>
      <c r="G6" s="721"/>
      <c r="H6" s="721"/>
      <c r="I6" s="721"/>
      <c r="J6" s="721"/>
      <c r="K6" s="721"/>
      <c r="L6" s="721"/>
      <c r="M6" s="721"/>
      <c r="N6" s="721"/>
      <c r="O6" s="721"/>
      <c r="P6" s="721"/>
      <c r="Q6" s="721"/>
      <c r="R6" s="721"/>
      <c r="S6" s="721"/>
      <c r="T6" s="721"/>
      <c r="U6" s="721"/>
      <c r="V6" s="721"/>
      <c r="W6" s="721"/>
    </row>
    <row r="7" spans="1:23" s="9" customFormat="1" ht="16.5">
      <c r="A7" s="775" t="s">
        <v>1</v>
      </c>
      <c r="B7" s="775"/>
      <c r="C7" s="775"/>
      <c r="D7" s="775"/>
      <c r="E7" s="775"/>
      <c r="F7" s="775"/>
      <c r="G7" s="775"/>
      <c r="H7" s="775"/>
      <c r="I7" s="775"/>
      <c r="J7" s="775"/>
      <c r="K7" s="775"/>
      <c r="L7" s="775"/>
      <c r="M7" s="775"/>
      <c r="N7" s="775"/>
      <c r="O7" s="775"/>
      <c r="P7" s="775"/>
      <c r="Q7" s="775"/>
      <c r="R7" s="775"/>
      <c r="S7" s="775"/>
      <c r="T7" s="775"/>
      <c r="U7" s="775"/>
      <c r="V7" s="775"/>
      <c r="W7" s="775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53" t="s">
        <v>455</v>
      </c>
      <c r="B10" s="754"/>
      <c r="C10" s="753" t="s">
        <v>56</v>
      </c>
      <c r="D10" s="759"/>
      <c r="E10" s="759"/>
      <c r="F10" s="759"/>
      <c r="G10" s="760"/>
      <c r="H10" s="769" t="s">
        <v>57</v>
      </c>
      <c r="I10" s="751" t="s">
        <v>55</v>
      </c>
      <c r="J10" s="752"/>
      <c r="K10" s="752"/>
      <c r="L10" s="752"/>
      <c r="M10" s="752"/>
      <c r="N10" s="752"/>
      <c r="O10" s="752"/>
      <c r="P10" s="751" t="s">
        <v>58</v>
      </c>
      <c r="Q10" s="752"/>
      <c r="R10" s="752"/>
      <c r="S10" s="752"/>
      <c r="T10" s="752"/>
      <c r="U10" s="753" t="s">
        <v>59</v>
      </c>
      <c r="V10" s="759"/>
      <c r="W10" s="760"/>
    </row>
    <row r="11" spans="1:23" s="21" customFormat="1" ht="12.75" hidden="1" customHeight="1">
      <c r="A11" s="755"/>
      <c r="B11" s="756"/>
      <c r="C11" s="761"/>
      <c r="D11" s="762"/>
      <c r="E11" s="762"/>
      <c r="F11" s="762"/>
      <c r="G11" s="763"/>
      <c r="H11" s="770"/>
      <c r="I11" s="752"/>
      <c r="J11" s="752"/>
      <c r="K11" s="752"/>
      <c r="L11" s="752"/>
      <c r="M11" s="752"/>
      <c r="N11" s="752"/>
      <c r="O11" s="752"/>
      <c r="P11" s="752"/>
      <c r="Q11" s="752"/>
      <c r="R11" s="752"/>
      <c r="S11" s="752"/>
      <c r="T11" s="752"/>
      <c r="U11" s="761"/>
      <c r="V11" s="762"/>
      <c r="W11" s="763"/>
    </row>
    <row r="12" spans="1:23" s="22" customFormat="1" ht="12.75" customHeight="1">
      <c r="A12" s="755"/>
      <c r="B12" s="756"/>
      <c r="C12" s="761"/>
      <c r="D12" s="762"/>
      <c r="E12" s="762"/>
      <c r="F12" s="762"/>
      <c r="G12" s="763"/>
      <c r="H12" s="770"/>
      <c r="I12" s="752"/>
      <c r="J12" s="752"/>
      <c r="K12" s="752"/>
      <c r="L12" s="752"/>
      <c r="M12" s="752"/>
      <c r="N12" s="752"/>
      <c r="O12" s="752"/>
      <c r="P12" s="752"/>
      <c r="Q12" s="752"/>
      <c r="R12" s="752"/>
      <c r="S12" s="752"/>
      <c r="T12" s="752"/>
      <c r="U12" s="761"/>
      <c r="V12" s="762"/>
      <c r="W12" s="763"/>
    </row>
    <row r="13" spans="1:23" s="5" customFormat="1" ht="12.75" hidden="1" customHeight="1">
      <c r="A13" s="755"/>
      <c r="B13" s="756"/>
      <c r="C13" s="764"/>
      <c r="D13" s="765"/>
      <c r="E13" s="765"/>
      <c r="F13" s="762"/>
      <c r="G13" s="763"/>
      <c r="H13" s="770"/>
      <c r="I13" s="752"/>
      <c r="J13" s="752"/>
      <c r="K13" s="752"/>
      <c r="L13" s="752"/>
      <c r="M13" s="752"/>
      <c r="N13" s="752"/>
      <c r="O13" s="752"/>
      <c r="P13" s="752"/>
      <c r="Q13" s="752"/>
      <c r="R13" s="752"/>
      <c r="S13" s="752"/>
      <c r="T13" s="752"/>
      <c r="U13" s="761"/>
      <c r="V13" s="762"/>
      <c r="W13" s="763"/>
    </row>
    <row r="14" spans="1:23" s="5" customFormat="1" ht="12.75" customHeight="1">
      <c r="A14" s="755"/>
      <c r="B14" s="756"/>
      <c r="C14" s="766"/>
      <c r="D14" s="767"/>
      <c r="E14" s="767"/>
      <c r="F14" s="768"/>
      <c r="G14" s="725"/>
      <c r="H14" s="770"/>
      <c r="I14" s="752"/>
      <c r="J14" s="752"/>
      <c r="K14" s="752"/>
      <c r="L14" s="752"/>
      <c r="M14" s="752"/>
      <c r="N14" s="752"/>
      <c r="O14" s="752"/>
      <c r="P14" s="752"/>
      <c r="Q14" s="752"/>
      <c r="R14" s="752"/>
      <c r="S14" s="752"/>
      <c r="T14" s="752"/>
      <c r="U14" s="761"/>
      <c r="V14" s="762"/>
      <c r="W14" s="763"/>
    </row>
    <row r="15" spans="1:23" s="5" customFormat="1" ht="12.75" customHeight="1">
      <c r="A15" s="755"/>
      <c r="B15" s="756"/>
      <c r="C15" s="771" t="s">
        <v>318</v>
      </c>
      <c r="D15" s="771" t="s">
        <v>319</v>
      </c>
      <c r="E15" s="771" t="s">
        <v>320</v>
      </c>
      <c r="F15" s="769" t="s">
        <v>60</v>
      </c>
      <c r="G15" s="769" t="s">
        <v>61</v>
      </c>
      <c r="H15" s="770"/>
      <c r="I15" s="751" t="s">
        <v>454</v>
      </c>
      <c r="J15" s="752"/>
      <c r="K15" s="752"/>
      <c r="L15" s="752"/>
      <c r="M15" s="751" t="s">
        <v>12</v>
      </c>
      <c r="N15" s="752"/>
      <c r="O15" s="752"/>
      <c r="P15" s="752"/>
      <c r="Q15" s="752"/>
      <c r="R15" s="752"/>
      <c r="S15" s="752"/>
      <c r="T15" s="752"/>
      <c r="U15" s="761"/>
      <c r="V15" s="762"/>
      <c r="W15" s="763"/>
    </row>
    <row r="16" spans="1:23" s="5" customFormat="1" ht="12.75" customHeight="1">
      <c r="A16" s="755"/>
      <c r="B16" s="756"/>
      <c r="C16" s="772"/>
      <c r="D16" s="772"/>
      <c r="E16" s="772"/>
      <c r="F16" s="772"/>
      <c r="G16" s="770"/>
      <c r="H16" s="770"/>
      <c r="I16" s="752"/>
      <c r="J16" s="752"/>
      <c r="K16" s="752"/>
      <c r="L16" s="752"/>
      <c r="M16" s="752"/>
      <c r="N16" s="752"/>
      <c r="O16" s="752"/>
      <c r="P16" s="752"/>
      <c r="Q16" s="752"/>
      <c r="R16" s="752"/>
      <c r="S16" s="752"/>
      <c r="T16" s="752"/>
      <c r="U16" s="761"/>
      <c r="V16" s="762"/>
      <c r="W16" s="763"/>
    </row>
    <row r="17" spans="1:23" s="5" customFormat="1" ht="12.75" customHeight="1">
      <c r="A17" s="755"/>
      <c r="B17" s="756"/>
      <c r="C17" s="772"/>
      <c r="D17" s="772"/>
      <c r="E17" s="772"/>
      <c r="F17" s="772"/>
      <c r="G17" s="770"/>
      <c r="H17" s="770"/>
      <c r="I17" s="751" t="s">
        <v>63</v>
      </c>
      <c r="J17" s="777" t="s">
        <v>62</v>
      </c>
      <c r="K17" s="751" t="s">
        <v>64</v>
      </c>
      <c r="L17" s="773" t="s">
        <v>65</v>
      </c>
      <c r="M17" s="751" t="s">
        <v>4</v>
      </c>
      <c r="N17" s="773" t="s">
        <v>65</v>
      </c>
      <c r="O17" s="752"/>
      <c r="P17" s="752"/>
      <c r="Q17" s="752"/>
      <c r="R17" s="752"/>
      <c r="S17" s="752"/>
      <c r="T17" s="752"/>
      <c r="U17" s="761"/>
      <c r="V17" s="762"/>
      <c r="W17" s="763"/>
    </row>
    <row r="18" spans="1:23" s="5" customFormat="1" ht="12.75" customHeight="1">
      <c r="A18" s="755"/>
      <c r="B18" s="756"/>
      <c r="C18" s="772"/>
      <c r="D18" s="772"/>
      <c r="E18" s="772"/>
      <c r="F18" s="772"/>
      <c r="G18" s="770"/>
      <c r="H18" s="770"/>
      <c r="I18" s="752"/>
      <c r="J18" s="777"/>
      <c r="K18" s="752"/>
      <c r="L18" s="752"/>
      <c r="M18" s="752"/>
      <c r="N18" s="752"/>
      <c r="O18" s="752"/>
      <c r="P18" s="752"/>
      <c r="Q18" s="752"/>
      <c r="R18" s="752"/>
      <c r="S18" s="752"/>
      <c r="T18" s="752"/>
      <c r="U18" s="761"/>
      <c r="V18" s="762"/>
      <c r="W18" s="763"/>
    </row>
    <row r="19" spans="1:23" s="5" customFormat="1" ht="12.75" hidden="1" customHeight="1">
      <c r="A19" s="755"/>
      <c r="B19" s="756"/>
      <c r="C19" s="419"/>
      <c r="D19" s="419"/>
      <c r="E19" s="419"/>
      <c r="F19" s="330"/>
      <c r="G19" s="770"/>
      <c r="H19" s="770"/>
      <c r="I19" s="752"/>
      <c r="J19" s="777"/>
      <c r="K19" s="752"/>
      <c r="L19" s="752"/>
      <c r="M19" s="752"/>
      <c r="N19" s="752"/>
      <c r="O19" s="752"/>
      <c r="P19" s="752"/>
      <c r="Q19" s="752"/>
      <c r="R19" s="752"/>
      <c r="S19" s="752"/>
      <c r="T19" s="752"/>
      <c r="U19" s="761"/>
      <c r="V19" s="762"/>
      <c r="W19" s="763"/>
    </row>
    <row r="20" spans="1:23" s="5" customFormat="1" ht="16.5" hidden="1" customHeight="1">
      <c r="A20" s="757"/>
      <c r="B20" s="758"/>
      <c r="C20" s="420"/>
      <c r="D20" s="420"/>
      <c r="E20" s="420"/>
      <c r="F20" s="327"/>
      <c r="G20" s="726"/>
      <c r="H20" s="726"/>
      <c r="I20" s="752"/>
      <c r="J20" s="777"/>
      <c r="K20" s="752"/>
      <c r="L20" s="752"/>
      <c r="M20" s="752"/>
      <c r="N20" s="752"/>
      <c r="O20" s="752"/>
      <c r="P20" s="752"/>
      <c r="Q20" s="752"/>
      <c r="R20" s="752"/>
      <c r="S20" s="752"/>
      <c r="T20" s="752"/>
      <c r="U20" s="776"/>
      <c r="V20" s="768"/>
      <c r="W20" s="725"/>
    </row>
    <row r="21" spans="1:23" ht="14.25" customHeight="1">
      <c r="A21" s="96" t="s">
        <v>456</v>
      </c>
      <c r="B21" s="97"/>
      <c r="C21" s="393">
        <f>SUM(C23:C24)</f>
        <v>0</v>
      </c>
      <c r="D21" s="393">
        <f t="shared" ref="D21:J22" si="0">SUM(D23:D24)</f>
        <v>0</v>
      </c>
      <c r="E21" s="393">
        <f t="shared" si="0"/>
        <v>0</v>
      </c>
      <c r="F21" s="394">
        <f t="shared" si="0"/>
        <v>0</v>
      </c>
      <c r="G21" s="394">
        <f>SUM(C21:F21)</f>
        <v>0</v>
      </c>
      <c r="H21" s="394">
        <f t="shared" si="0"/>
        <v>0</v>
      </c>
      <c r="I21" s="394">
        <f t="shared" si="0"/>
        <v>0</v>
      </c>
      <c r="J21" s="394">
        <f t="shared" si="0"/>
        <v>0</v>
      </c>
      <c r="K21" s="394">
        <f>SUM(I21:J21)</f>
        <v>0</v>
      </c>
      <c r="L21" s="395">
        <f>IF(K21=0,0,K21/H21)</f>
        <v>0</v>
      </c>
      <c r="M21" s="394">
        <f>H21-K21</f>
        <v>0</v>
      </c>
      <c r="N21" s="396">
        <f>IF(M21=0,0,M21/H21)</f>
        <v>0</v>
      </c>
      <c r="O21" s="397"/>
      <c r="P21" s="398"/>
      <c r="Q21" s="399"/>
      <c r="R21" s="747"/>
      <c r="S21" s="748"/>
      <c r="T21" s="749"/>
      <c r="U21" s="750"/>
      <c r="V21" s="748"/>
      <c r="W21" s="749"/>
    </row>
    <row r="22" spans="1:23" ht="14.25" customHeight="1">
      <c r="A22" s="100" t="s">
        <v>44</v>
      </c>
      <c r="B22" s="99"/>
      <c r="C22" s="400">
        <f>SUM(C24:C25)</f>
        <v>0</v>
      </c>
      <c r="D22" s="400">
        <f t="shared" si="0"/>
        <v>0</v>
      </c>
      <c r="E22" s="400">
        <f t="shared" si="0"/>
        <v>0</v>
      </c>
      <c r="F22" s="401">
        <f t="shared" si="0"/>
        <v>0</v>
      </c>
      <c r="G22" s="401">
        <f>SUM(C22:F22)</f>
        <v>0</v>
      </c>
      <c r="H22" s="401">
        <f t="shared" si="0"/>
        <v>0</v>
      </c>
      <c r="I22" s="401">
        <f t="shared" si="0"/>
        <v>0</v>
      </c>
      <c r="J22" s="401">
        <f t="shared" si="0"/>
        <v>0</v>
      </c>
      <c r="K22" s="401">
        <f>SUM(I22:J22)</f>
        <v>0</v>
      </c>
      <c r="L22" s="402">
        <f>IF(K22=0,0,K22/H22)</f>
        <v>0</v>
      </c>
      <c r="M22" s="401">
        <f>H22-K22</f>
        <v>0</v>
      </c>
      <c r="N22" s="403">
        <f>IF(M22=0,0,M22/H22)</f>
        <v>0</v>
      </c>
      <c r="O22" s="404"/>
      <c r="P22" s="405"/>
      <c r="Q22" s="406"/>
      <c r="R22" s="556"/>
      <c r="S22" s="557"/>
      <c r="T22" s="558"/>
      <c r="U22" s="559"/>
      <c r="V22" s="557"/>
      <c r="W22" s="558"/>
    </row>
    <row r="23" spans="1:23">
      <c r="A23" s="98"/>
      <c r="B23" s="99" t="s">
        <v>44</v>
      </c>
      <c r="C23" s="400"/>
      <c r="D23" s="400"/>
      <c r="E23" s="400"/>
      <c r="F23" s="401"/>
      <c r="G23" s="401">
        <f t="shared" ref="G23:G41" si="1">SUM(C23:F23)</f>
        <v>0</v>
      </c>
      <c r="H23" s="401"/>
      <c r="I23" s="401"/>
      <c r="J23" s="401"/>
      <c r="K23" s="401">
        <f t="shared" ref="K23:K41" si="2">SUM(I23:J23)</f>
        <v>0</v>
      </c>
      <c r="L23" s="402">
        <f t="shared" ref="L23:L41" si="3">IF(K23=0,0,K23/H23)</f>
        <v>0</v>
      </c>
      <c r="M23" s="401">
        <f t="shared" ref="M23:M41" si="4">H23-K23</f>
        <v>0</v>
      </c>
      <c r="N23" s="403">
        <f t="shared" ref="N23:N41" si="5">IF(M23=0,0,M23/H23)</f>
        <v>0</v>
      </c>
      <c r="O23" s="404"/>
      <c r="P23" s="405"/>
      <c r="Q23" s="406"/>
      <c r="R23" s="739"/>
      <c r="S23" s="740"/>
      <c r="T23" s="741"/>
      <c r="U23" s="742"/>
      <c r="V23" s="740"/>
      <c r="W23" s="741"/>
    </row>
    <row r="24" spans="1:23">
      <c r="A24" s="98"/>
      <c r="B24" s="99" t="s">
        <v>49</v>
      </c>
      <c r="C24" s="401"/>
      <c r="D24" s="401"/>
      <c r="E24" s="401"/>
      <c r="F24" s="401"/>
      <c r="G24" s="401">
        <f t="shared" si="1"/>
        <v>0</v>
      </c>
      <c r="H24" s="401"/>
      <c r="I24" s="401"/>
      <c r="J24" s="401"/>
      <c r="K24" s="401">
        <f t="shared" si="2"/>
        <v>0</v>
      </c>
      <c r="L24" s="402">
        <f t="shared" si="3"/>
        <v>0</v>
      </c>
      <c r="M24" s="401">
        <f t="shared" si="4"/>
        <v>0</v>
      </c>
      <c r="N24" s="403">
        <f t="shared" si="5"/>
        <v>0</v>
      </c>
      <c r="O24" s="404"/>
      <c r="P24" s="405"/>
      <c r="Q24" s="406"/>
      <c r="R24" s="739"/>
      <c r="S24" s="740"/>
      <c r="T24" s="741"/>
      <c r="U24" s="742"/>
      <c r="V24" s="740"/>
      <c r="W24" s="741"/>
    </row>
    <row r="25" spans="1:23" ht="14.25" customHeight="1">
      <c r="A25" s="100" t="s">
        <v>45</v>
      </c>
      <c r="B25" s="99"/>
      <c r="C25" s="401">
        <f>SUM(C26:C27)</f>
        <v>0</v>
      </c>
      <c r="D25" s="401">
        <f t="shared" ref="D25" si="6">SUM(D26:D27)</f>
        <v>0</v>
      </c>
      <c r="E25" s="401">
        <f t="shared" ref="E25" si="7">SUM(E26:E27)</f>
        <v>0</v>
      </c>
      <c r="F25" s="401">
        <f t="shared" ref="F25" si="8">SUM(F26:F27)</f>
        <v>0</v>
      </c>
      <c r="G25" s="401">
        <f t="shared" si="1"/>
        <v>0</v>
      </c>
      <c r="H25" s="401">
        <f t="shared" ref="H25" si="9">SUM(H26:H27)</f>
        <v>0</v>
      </c>
      <c r="I25" s="401">
        <f t="shared" ref="I25" si="10">SUM(I26:I27)</f>
        <v>0</v>
      </c>
      <c r="J25" s="401">
        <f t="shared" ref="J25" si="11">SUM(J26:J27)</f>
        <v>0</v>
      </c>
      <c r="K25" s="401">
        <f t="shared" si="2"/>
        <v>0</v>
      </c>
      <c r="L25" s="402">
        <f>IF(K25=0,0,K25/H25)</f>
        <v>0</v>
      </c>
      <c r="M25" s="401">
        <f t="shared" si="4"/>
        <v>0</v>
      </c>
      <c r="N25" s="403">
        <f>IF(M25=0,0,M25/H25)</f>
        <v>0</v>
      </c>
      <c r="O25" s="404"/>
      <c r="P25" s="405"/>
      <c r="Q25" s="406"/>
      <c r="R25" s="739"/>
      <c r="S25" s="740"/>
      <c r="T25" s="741"/>
      <c r="U25" s="742"/>
      <c r="V25" s="740"/>
      <c r="W25" s="741"/>
    </row>
    <row r="26" spans="1:23">
      <c r="A26" s="98"/>
      <c r="B26" s="99" t="s">
        <v>45</v>
      </c>
      <c r="C26" s="401"/>
      <c r="D26" s="401"/>
      <c r="E26" s="401"/>
      <c r="F26" s="401"/>
      <c r="G26" s="401">
        <f t="shared" si="1"/>
        <v>0</v>
      </c>
      <c r="H26" s="401"/>
      <c r="I26" s="401"/>
      <c r="J26" s="401"/>
      <c r="K26" s="401">
        <f t="shared" si="2"/>
        <v>0</v>
      </c>
      <c r="L26" s="402">
        <f t="shared" si="3"/>
        <v>0</v>
      </c>
      <c r="M26" s="401">
        <f t="shared" si="4"/>
        <v>0</v>
      </c>
      <c r="N26" s="403">
        <f t="shared" si="5"/>
        <v>0</v>
      </c>
      <c r="O26" s="404"/>
      <c r="P26" s="405"/>
      <c r="Q26" s="406"/>
      <c r="R26" s="739"/>
      <c r="S26" s="740"/>
      <c r="T26" s="741"/>
      <c r="U26" s="742"/>
      <c r="V26" s="740"/>
      <c r="W26" s="741"/>
    </row>
    <row r="27" spans="1:23">
      <c r="A27" s="98"/>
      <c r="B27" s="99" t="s">
        <v>49</v>
      </c>
      <c r="C27" s="401"/>
      <c r="D27" s="401"/>
      <c r="E27" s="401"/>
      <c r="F27" s="401"/>
      <c r="G27" s="401">
        <f t="shared" si="1"/>
        <v>0</v>
      </c>
      <c r="H27" s="401"/>
      <c r="I27" s="401"/>
      <c r="J27" s="401"/>
      <c r="K27" s="401">
        <f t="shared" si="2"/>
        <v>0</v>
      </c>
      <c r="L27" s="402">
        <f t="shared" si="3"/>
        <v>0</v>
      </c>
      <c r="M27" s="401">
        <f t="shared" si="4"/>
        <v>0</v>
      </c>
      <c r="N27" s="403">
        <f t="shared" si="5"/>
        <v>0</v>
      </c>
      <c r="O27" s="404"/>
      <c r="P27" s="405"/>
      <c r="Q27" s="406"/>
      <c r="R27" s="739"/>
      <c r="S27" s="740"/>
      <c r="T27" s="741"/>
      <c r="U27" s="742"/>
      <c r="V27" s="740"/>
      <c r="W27" s="741"/>
    </row>
    <row r="28" spans="1:23" ht="14.25" customHeight="1">
      <c r="A28" s="100" t="s">
        <v>46</v>
      </c>
      <c r="B28" s="99"/>
      <c r="C28" s="401">
        <f>SUM(C29:C30)</f>
        <v>0</v>
      </c>
      <c r="D28" s="401">
        <f t="shared" ref="D28" si="12">SUM(D29:D30)</f>
        <v>0</v>
      </c>
      <c r="E28" s="401">
        <f t="shared" ref="E28" si="13">SUM(E29:E30)</f>
        <v>0</v>
      </c>
      <c r="F28" s="401">
        <f t="shared" ref="F28" si="14">SUM(F29:F30)</f>
        <v>0</v>
      </c>
      <c r="G28" s="401">
        <f t="shared" si="1"/>
        <v>0</v>
      </c>
      <c r="H28" s="401">
        <f t="shared" ref="H28" si="15">SUM(H29:H30)</f>
        <v>0</v>
      </c>
      <c r="I28" s="401">
        <f t="shared" ref="I28" si="16">SUM(I29:I30)</f>
        <v>0</v>
      </c>
      <c r="J28" s="401">
        <f t="shared" ref="J28" si="17">SUM(J29:J30)</f>
        <v>0</v>
      </c>
      <c r="K28" s="401">
        <f t="shared" si="2"/>
        <v>0</v>
      </c>
      <c r="L28" s="402">
        <f>IF(K28=0,0,K28/H28)</f>
        <v>0</v>
      </c>
      <c r="M28" s="401">
        <f t="shared" si="4"/>
        <v>0</v>
      </c>
      <c r="N28" s="403">
        <f>IF(M28=0,0,M28/H28)</f>
        <v>0</v>
      </c>
      <c r="O28" s="404"/>
      <c r="P28" s="405"/>
      <c r="Q28" s="406"/>
      <c r="R28" s="739"/>
      <c r="S28" s="740"/>
      <c r="T28" s="741"/>
      <c r="U28" s="742"/>
      <c r="V28" s="740"/>
      <c r="W28" s="741"/>
    </row>
    <row r="29" spans="1:23">
      <c r="A29" s="98"/>
      <c r="B29" s="99" t="s">
        <v>46</v>
      </c>
      <c r="C29" s="401"/>
      <c r="D29" s="401"/>
      <c r="E29" s="401"/>
      <c r="F29" s="401"/>
      <c r="G29" s="401">
        <f t="shared" si="1"/>
        <v>0</v>
      </c>
      <c r="H29" s="401"/>
      <c r="I29" s="401"/>
      <c r="J29" s="401"/>
      <c r="K29" s="401">
        <f t="shared" si="2"/>
        <v>0</v>
      </c>
      <c r="L29" s="402">
        <f t="shared" si="3"/>
        <v>0</v>
      </c>
      <c r="M29" s="401">
        <f t="shared" si="4"/>
        <v>0</v>
      </c>
      <c r="N29" s="403">
        <f t="shared" si="5"/>
        <v>0</v>
      </c>
      <c r="O29" s="404"/>
      <c r="P29" s="405"/>
      <c r="Q29" s="406"/>
      <c r="R29" s="739"/>
      <c r="S29" s="740"/>
      <c r="T29" s="741"/>
      <c r="U29" s="742"/>
      <c r="V29" s="740"/>
      <c r="W29" s="741"/>
    </row>
    <row r="30" spans="1:23">
      <c r="A30" s="98"/>
      <c r="B30" s="99" t="s">
        <v>49</v>
      </c>
      <c r="C30" s="401"/>
      <c r="D30" s="401"/>
      <c r="E30" s="401"/>
      <c r="F30" s="401"/>
      <c r="G30" s="401">
        <f t="shared" si="1"/>
        <v>0</v>
      </c>
      <c r="H30" s="401"/>
      <c r="I30" s="401"/>
      <c r="J30" s="401"/>
      <c r="K30" s="401">
        <f t="shared" si="2"/>
        <v>0</v>
      </c>
      <c r="L30" s="402">
        <f t="shared" si="3"/>
        <v>0</v>
      </c>
      <c r="M30" s="401">
        <f t="shared" si="4"/>
        <v>0</v>
      </c>
      <c r="N30" s="403">
        <f t="shared" si="5"/>
        <v>0</v>
      </c>
      <c r="O30" s="404"/>
      <c r="P30" s="405"/>
      <c r="Q30" s="406"/>
      <c r="R30" s="739"/>
      <c r="S30" s="740"/>
      <c r="T30" s="741"/>
      <c r="U30" s="742"/>
      <c r="V30" s="740"/>
      <c r="W30" s="741"/>
    </row>
    <row r="31" spans="1:23" ht="14.25" customHeight="1">
      <c r="A31" s="100" t="s">
        <v>47</v>
      </c>
      <c r="B31" s="99"/>
      <c r="C31" s="401">
        <f>SUM(C32:C33)</f>
        <v>0</v>
      </c>
      <c r="D31" s="401">
        <f t="shared" ref="D31" si="18">SUM(D32:D33)</f>
        <v>0</v>
      </c>
      <c r="E31" s="401">
        <f t="shared" ref="E31" si="19">SUM(E32:E33)</f>
        <v>0</v>
      </c>
      <c r="F31" s="401">
        <f t="shared" ref="F31" si="20">SUM(F32:F33)</f>
        <v>0</v>
      </c>
      <c r="G31" s="401">
        <f t="shared" si="1"/>
        <v>0</v>
      </c>
      <c r="H31" s="401">
        <f t="shared" ref="H31" si="21">SUM(H32:H33)</f>
        <v>0</v>
      </c>
      <c r="I31" s="401">
        <f t="shared" ref="I31" si="22">SUM(I32:I33)</f>
        <v>0</v>
      </c>
      <c r="J31" s="401">
        <f t="shared" ref="J31" si="23">SUM(J32:J33)</f>
        <v>0</v>
      </c>
      <c r="K31" s="401">
        <f t="shared" si="2"/>
        <v>0</v>
      </c>
      <c r="L31" s="402">
        <f>IF(K31=0,0,K31/H31)</f>
        <v>0</v>
      </c>
      <c r="M31" s="401">
        <f t="shared" si="4"/>
        <v>0</v>
      </c>
      <c r="N31" s="403">
        <f>IF(M31=0,0,M31/H31)</f>
        <v>0</v>
      </c>
      <c r="O31" s="404"/>
      <c r="P31" s="405"/>
      <c r="Q31" s="406"/>
      <c r="R31" s="739"/>
      <c r="S31" s="740"/>
      <c r="T31" s="741"/>
      <c r="U31" s="742"/>
      <c r="V31" s="740"/>
      <c r="W31" s="741"/>
    </row>
    <row r="32" spans="1:23">
      <c r="A32" s="98"/>
      <c r="B32" s="99" t="s">
        <v>47</v>
      </c>
      <c r="C32" s="401"/>
      <c r="D32" s="407"/>
      <c r="E32" s="401"/>
      <c r="F32" s="407"/>
      <c r="G32" s="407">
        <f t="shared" si="1"/>
        <v>0</v>
      </c>
      <c r="H32" s="407"/>
      <c r="I32" s="407"/>
      <c r="J32" s="401"/>
      <c r="K32" s="407">
        <f t="shared" si="2"/>
        <v>0</v>
      </c>
      <c r="L32" s="408">
        <f t="shared" si="3"/>
        <v>0</v>
      </c>
      <c r="M32" s="407">
        <f t="shared" si="4"/>
        <v>0</v>
      </c>
      <c r="N32" s="409">
        <f t="shared" si="5"/>
        <v>0</v>
      </c>
      <c r="O32" s="404"/>
      <c r="P32" s="410"/>
      <c r="Q32" s="411"/>
      <c r="R32" s="739"/>
      <c r="S32" s="740"/>
      <c r="T32" s="741"/>
      <c r="U32" s="742"/>
      <c r="V32" s="740"/>
      <c r="W32" s="741"/>
    </row>
    <row r="33" spans="1:23" ht="12.75" customHeight="1">
      <c r="A33" s="98"/>
      <c r="B33" s="99" t="s">
        <v>49</v>
      </c>
      <c r="C33" s="401"/>
      <c r="D33" s="407"/>
      <c r="E33" s="401"/>
      <c r="F33" s="407"/>
      <c r="G33" s="407">
        <f t="shared" si="1"/>
        <v>0</v>
      </c>
      <c r="H33" s="407"/>
      <c r="I33" s="407"/>
      <c r="J33" s="401"/>
      <c r="K33" s="407">
        <f t="shared" si="2"/>
        <v>0</v>
      </c>
      <c r="L33" s="408">
        <f t="shared" si="3"/>
        <v>0</v>
      </c>
      <c r="M33" s="407">
        <f t="shared" si="4"/>
        <v>0</v>
      </c>
      <c r="N33" s="409">
        <f t="shared" si="5"/>
        <v>0</v>
      </c>
      <c r="O33" s="404"/>
      <c r="P33" s="410"/>
      <c r="Q33" s="411"/>
      <c r="R33" s="739"/>
      <c r="S33" s="740"/>
      <c r="T33" s="741"/>
      <c r="U33" s="742"/>
      <c r="V33" s="740"/>
      <c r="W33" s="741"/>
    </row>
    <row r="34" spans="1:23" ht="14.25" customHeight="1">
      <c r="A34" s="98" t="s">
        <v>48</v>
      </c>
      <c r="B34" s="99"/>
      <c r="C34" s="401">
        <f>SUM(C35:C36)</f>
        <v>0</v>
      </c>
      <c r="D34" s="401">
        <f t="shared" ref="D34" si="24">SUM(D35:D36)</f>
        <v>0</v>
      </c>
      <c r="E34" s="401">
        <f t="shared" ref="E34" si="25">SUM(E35:E36)</f>
        <v>0</v>
      </c>
      <c r="F34" s="401">
        <f t="shared" ref="F34" si="26">SUM(F35:F36)</f>
        <v>0</v>
      </c>
      <c r="G34" s="401">
        <f t="shared" si="1"/>
        <v>0</v>
      </c>
      <c r="H34" s="401">
        <f t="shared" ref="H34" si="27">SUM(H35:H36)</f>
        <v>0</v>
      </c>
      <c r="I34" s="401">
        <f t="shared" ref="I34" si="28">SUM(I35:I36)</f>
        <v>0</v>
      </c>
      <c r="J34" s="401">
        <f t="shared" ref="J34" si="29">SUM(J35:J36)</f>
        <v>0</v>
      </c>
      <c r="K34" s="401">
        <f t="shared" si="2"/>
        <v>0</v>
      </c>
      <c r="L34" s="402">
        <f>IF(K34=0,0,K34/H34)</f>
        <v>0</v>
      </c>
      <c r="M34" s="401">
        <f t="shared" si="4"/>
        <v>0</v>
      </c>
      <c r="N34" s="403">
        <f>IF(M34=0,0,M34/H34)</f>
        <v>0</v>
      </c>
      <c r="O34" s="404"/>
      <c r="P34" s="405"/>
      <c r="Q34" s="406"/>
      <c r="R34" s="739"/>
      <c r="S34" s="740"/>
      <c r="T34" s="741"/>
      <c r="U34" s="742"/>
      <c r="V34" s="740"/>
      <c r="W34" s="741"/>
    </row>
    <row r="35" spans="1:23">
      <c r="A35" s="100"/>
      <c r="B35" s="99" t="s">
        <v>48</v>
      </c>
      <c r="C35" s="401"/>
      <c r="D35" s="401"/>
      <c r="E35" s="401"/>
      <c r="F35" s="401"/>
      <c r="G35" s="401">
        <f t="shared" si="1"/>
        <v>0</v>
      </c>
      <c r="H35" s="401"/>
      <c r="I35" s="401"/>
      <c r="J35" s="401"/>
      <c r="K35" s="401">
        <f t="shared" si="2"/>
        <v>0</v>
      </c>
      <c r="L35" s="402">
        <f t="shared" si="3"/>
        <v>0</v>
      </c>
      <c r="M35" s="401">
        <f t="shared" si="4"/>
        <v>0</v>
      </c>
      <c r="N35" s="403">
        <f t="shared" si="5"/>
        <v>0</v>
      </c>
      <c r="O35" s="404"/>
      <c r="P35" s="405"/>
      <c r="Q35" s="406"/>
      <c r="R35" s="739"/>
      <c r="S35" s="740"/>
      <c r="T35" s="741"/>
      <c r="U35" s="742"/>
      <c r="V35" s="740"/>
      <c r="W35" s="741"/>
    </row>
    <row r="36" spans="1:23">
      <c r="A36" s="98"/>
      <c r="B36" s="99" t="s">
        <v>49</v>
      </c>
      <c r="C36" s="401"/>
      <c r="D36" s="401"/>
      <c r="E36" s="401"/>
      <c r="F36" s="401"/>
      <c r="G36" s="401">
        <f t="shared" si="1"/>
        <v>0</v>
      </c>
      <c r="H36" s="401"/>
      <c r="I36" s="401"/>
      <c r="J36" s="401"/>
      <c r="K36" s="401">
        <f t="shared" si="2"/>
        <v>0</v>
      </c>
      <c r="L36" s="402">
        <f t="shared" si="3"/>
        <v>0</v>
      </c>
      <c r="M36" s="401">
        <f t="shared" si="4"/>
        <v>0</v>
      </c>
      <c r="N36" s="403">
        <f t="shared" si="5"/>
        <v>0</v>
      </c>
      <c r="O36" s="404"/>
      <c r="P36" s="405"/>
      <c r="Q36" s="406"/>
      <c r="R36" s="739"/>
      <c r="S36" s="740"/>
      <c r="T36" s="741"/>
      <c r="U36" s="742"/>
      <c r="V36" s="740"/>
      <c r="W36" s="741"/>
    </row>
    <row r="37" spans="1:23" ht="14.25" customHeight="1">
      <c r="A37" s="98" t="s">
        <v>219</v>
      </c>
      <c r="B37" s="99"/>
      <c r="C37" s="401">
        <f>SUM(C38:C39)</f>
        <v>0</v>
      </c>
      <c r="D37" s="401">
        <f t="shared" ref="D37" si="30">SUM(D38:D39)</f>
        <v>0</v>
      </c>
      <c r="E37" s="401">
        <f t="shared" ref="E37" si="31">SUM(E38:E39)</f>
        <v>0</v>
      </c>
      <c r="F37" s="401">
        <f t="shared" ref="F37" si="32">SUM(F38:F39)</f>
        <v>0</v>
      </c>
      <c r="G37" s="401">
        <f t="shared" si="1"/>
        <v>0</v>
      </c>
      <c r="H37" s="401">
        <f t="shared" ref="H37" si="33">SUM(H38:H39)</f>
        <v>0</v>
      </c>
      <c r="I37" s="401">
        <f t="shared" ref="I37" si="34">SUM(I38:I39)</f>
        <v>0</v>
      </c>
      <c r="J37" s="401">
        <f t="shared" ref="J37" si="35">SUM(J38:J39)</f>
        <v>0</v>
      </c>
      <c r="K37" s="401">
        <f t="shared" si="2"/>
        <v>0</v>
      </c>
      <c r="L37" s="402">
        <f>IF(K37=0,0,K37/H37)</f>
        <v>0</v>
      </c>
      <c r="M37" s="401">
        <f t="shared" si="4"/>
        <v>0</v>
      </c>
      <c r="N37" s="403">
        <f>IF(M37=0,0,M37/H37)</f>
        <v>0</v>
      </c>
      <c r="O37" s="404"/>
      <c r="P37" s="405"/>
      <c r="Q37" s="406"/>
      <c r="R37" s="739"/>
      <c r="S37" s="740"/>
      <c r="T37" s="741"/>
      <c r="U37" s="742"/>
      <c r="V37" s="740"/>
      <c r="W37" s="741"/>
    </row>
    <row r="38" spans="1:23" ht="14.25" customHeight="1">
      <c r="A38" s="100"/>
      <c r="B38" s="99" t="s">
        <v>219</v>
      </c>
      <c r="C38" s="401"/>
      <c r="D38" s="407"/>
      <c r="E38" s="401"/>
      <c r="F38" s="407"/>
      <c r="G38" s="407">
        <f t="shared" si="1"/>
        <v>0</v>
      </c>
      <c r="H38" s="407"/>
      <c r="I38" s="407"/>
      <c r="J38" s="401"/>
      <c r="K38" s="407">
        <f t="shared" si="2"/>
        <v>0</v>
      </c>
      <c r="L38" s="408">
        <f t="shared" si="3"/>
        <v>0</v>
      </c>
      <c r="M38" s="401">
        <f t="shared" si="4"/>
        <v>0</v>
      </c>
      <c r="N38" s="403">
        <f t="shared" si="5"/>
        <v>0</v>
      </c>
      <c r="O38" s="404"/>
      <c r="P38" s="405"/>
      <c r="Q38" s="406"/>
      <c r="R38" s="739"/>
      <c r="S38" s="740"/>
      <c r="T38" s="741"/>
      <c r="U38" s="742"/>
      <c r="V38" s="740"/>
      <c r="W38" s="741"/>
    </row>
    <row r="39" spans="1:23">
      <c r="A39" s="98"/>
      <c r="B39" s="99" t="s">
        <v>49</v>
      </c>
      <c r="C39" s="401"/>
      <c r="D39" s="407"/>
      <c r="E39" s="401"/>
      <c r="F39" s="407"/>
      <c r="G39" s="407">
        <f t="shared" si="1"/>
        <v>0</v>
      </c>
      <c r="H39" s="407"/>
      <c r="I39" s="407"/>
      <c r="J39" s="401"/>
      <c r="K39" s="407">
        <f t="shared" si="2"/>
        <v>0</v>
      </c>
      <c r="L39" s="408">
        <f t="shared" si="3"/>
        <v>0</v>
      </c>
      <c r="M39" s="401">
        <f t="shared" si="4"/>
        <v>0</v>
      </c>
      <c r="N39" s="403">
        <f t="shared" si="5"/>
        <v>0</v>
      </c>
      <c r="O39" s="404"/>
      <c r="P39" s="405"/>
      <c r="Q39" s="406"/>
      <c r="R39" s="739"/>
      <c r="S39" s="740"/>
      <c r="T39" s="741"/>
      <c r="U39" s="742"/>
      <c r="V39" s="740"/>
      <c r="W39" s="741"/>
    </row>
    <row r="40" spans="1:23" ht="9.75" customHeight="1">
      <c r="A40" s="98"/>
      <c r="B40" s="99"/>
      <c r="C40" s="401"/>
      <c r="D40" s="401"/>
      <c r="E40" s="401"/>
      <c r="F40" s="401"/>
      <c r="G40" s="401">
        <f t="shared" si="1"/>
        <v>0</v>
      </c>
      <c r="H40" s="401"/>
      <c r="I40" s="401"/>
      <c r="J40" s="401"/>
      <c r="K40" s="401">
        <f t="shared" si="2"/>
        <v>0</v>
      </c>
      <c r="L40" s="402">
        <f t="shared" si="3"/>
        <v>0</v>
      </c>
      <c r="M40" s="401">
        <f t="shared" si="4"/>
        <v>0</v>
      </c>
      <c r="N40" s="403">
        <f t="shared" si="5"/>
        <v>0</v>
      </c>
      <c r="O40" s="404"/>
      <c r="P40" s="405"/>
      <c r="Q40" s="406"/>
      <c r="R40" s="739"/>
      <c r="S40" s="740"/>
      <c r="T40" s="741"/>
      <c r="U40" s="742"/>
      <c r="V40" s="740"/>
      <c r="W40" s="741"/>
    </row>
    <row r="41" spans="1:23" ht="14.25" customHeight="1">
      <c r="A41" s="104" t="s">
        <v>170</v>
      </c>
      <c r="B41" s="101"/>
      <c r="C41" s="412">
        <f>SUM(C21:C40)/2</f>
        <v>0</v>
      </c>
      <c r="D41" s="412">
        <f t="shared" ref="D41:J41" si="36">SUM(D21:D40)/2</f>
        <v>0</v>
      </c>
      <c r="E41" s="412">
        <f t="shared" si="36"/>
        <v>0</v>
      </c>
      <c r="F41" s="412">
        <f t="shared" si="36"/>
        <v>0</v>
      </c>
      <c r="G41" s="412">
        <f t="shared" si="1"/>
        <v>0</v>
      </c>
      <c r="H41" s="412">
        <f t="shared" si="36"/>
        <v>0</v>
      </c>
      <c r="I41" s="412">
        <f t="shared" si="36"/>
        <v>0</v>
      </c>
      <c r="J41" s="412">
        <f t="shared" si="36"/>
        <v>0</v>
      </c>
      <c r="K41" s="413">
        <f t="shared" si="2"/>
        <v>0</v>
      </c>
      <c r="L41" s="414">
        <f t="shared" si="3"/>
        <v>0</v>
      </c>
      <c r="M41" s="412">
        <f t="shared" si="4"/>
        <v>0</v>
      </c>
      <c r="N41" s="415">
        <f t="shared" si="5"/>
        <v>0</v>
      </c>
      <c r="O41" s="416"/>
      <c r="P41" s="417"/>
      <c r="Q41" s="418"/>
      <c r="R41" s="743"/>
      <c r="S41" s="744"/>
      <c r="T41" s="745"/>
      <c r="U41" s="746"/>
      <c r="V41" s="744"/>
      <c r="W41" s="745"/>
    </row>
    <row r="42" spans="1:23">
      <c r="R42" s="13"/>
      <c r="S42" s="13"/>
      <c r="T42" s="13"/>
      <c r="U42" s="13"/>
      <c r="V42" s="13"/>
      <c r="W42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6:T36"/>
    <mergeCell ref="U36:W36"/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M12" sqref="M12:M15"/>
      <selection pane="bottomLeft" activeCell="M12" sqref="M12:M15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79"/>
      <c r="U1" s="779"/>
      <c r="V1" s="779"/>
      <c r="W1" s="779"/>
    </row>
    <row r="2" spans="1:24" ht="24.75" customHeight="1">
      <c r="A2" s="660" t="str">
        <f>封面!$A$4</f>
        <v>彰化縣地方教育發展基金－彰化縣秀水鄉馬興國民小學</v>
      </c>
      <c r="B2" s="627"/>
      <c r="C2" s="627"/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  <c r="P2" s="627"/>
      <c r="Q2" s="627"/>
      <c r="R2" s="627"/>
      <c r="S2" s="627"/>
      <c r="T2" s="627"/>
      <c r="U2" s="627"/>
      <c r="V2" s="627"/>
      <c r="W2" s="627"/>
    </row>
    <row r="3" spans="1:24" ht="20.25" customHeight="1">
      <c r="A3" s="717" t="s">
        <v>66</v>
      </c>
      <c r="B3" s="717"/>
      <c r="C3" s="717"/>
      <c r="D3" s="717"/>
      <c r="E3" s="717"/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</row>
    <row r="4" spans="1:24" ht="20.25" customHeight="1">
      <c r="A4" s="658" t="str">
        <f>封面!$E$10&amp;封面!$H$10&amp;封面!$I$10&amp;封面!$J$10&amp;封面!$K$10&amp;封面!L10</f>
        <v>中華民國112年9月份</v>
      </c>
      <c r="B4" s="658"/>
      <c r="C4" s="658"/>
      <c r="D4" s="658"/>
      <c r="E4" s="658"/>
      <c r="F4" s="658"/>
      <c r="G4" s="658"/>
      <c r="H4" s="658"/>
      <c r="I4" s="658"/>
      <c r="J4" s="658"/>
      <c r="K4" s="658"/>
      <c r="L4" s="658"/>
      <c r="M4" s="658"/>
      <c r="N4" s="658"/>
      <c r="O4" s="658"/>
      <c r="P4" s="658"/>
      <c r="Q4" s="658"/>
      <c r="R4" s="658"/>
      <c r="S4" s="658"/>
      <c r="T4" s="658"/>
      <c r="U4" s="658"/>
      <c r="V4" s="658"/>
      <c r="W4" s="658"/>
    </row>
    <row r="5" spans="1:24" ht="16.5">
      <c r="S5" s="781" t="s">
        <v>1</v>
      </c>
      <c r="T5" s="627"/>
      <c r="U5" s="627"/>
      <c r="V5" s="627"/>
      <c r="W5" s="627"/>
    </row>
    <row r="6" spans="1:24" ht="14.25" hidden="1"/>
    <row r="7" spans="1:24" ht="8.1" customHeight="1">
      <c r="A7" s="722" t="s">
        <v>6</v>
      </c>
      <c r="B7" s="780"/>
      <c r="C7" s="780"/>
      <c r="D7" s="780"/>
      <c r="E7" s="780"/>
      <c r="F7" s="780"/>
      <c r="G7" s="780"/>
      <c r="H7" s="780"/>
      <c r="I7" s="780"/>
      <c r="J7" s="780"/>
      <c r="K7" s="780"/>
      <c r="L7" s="780"/>
      <c r="M7" s="780"/>
      <c r="N7" s="722" t="s">
        <v>68</v>
      </c>
      <c r="O7" s="778"/>
      <c r="P7" s="722" t="s">
        <v>69</v>
      </c>
      <c r="Q7" s="778"/>
      <c r="R7" s="722" t="s">
        <v>67</v>
      </c>
      <c r="S7" s="778"/>
      <c r="T7" s="778"/>
      <c r="U7" s="778"/>
      <c r="V7" s="778"/>
      <c r="W7" s="778"/>
      <c r="X7" s="6"/>
    </row>
    <row r="8" spans="1:24" ht="8.1" customHeight="1">
      <c r="A8" s="780"/>
      <c r="B8" s="780"/>
      <c r="C8" s="780"/>
      <c r="D8" s="780"/>
      <c r="E8" s="780"/>
      <c r="F8" s="780"/>
      <c r="G8" s="780"/>
      <c r="H8" s="780"/>
      <c r="I8" s="780"/>
      <c r="J8" s="780"/>
      <c r="K8" s="780"/>
      <c r="L8" s="780"/>
      <c r="M8" s="780"/>
      <c r="N8" s="778"/>
      <c r="O8" s="778"/>
      <c r="P8" s="778"/>
      <c r="Q8" s="778"/>
      <c r="R8" s="778"/>
      <c r="S8" s="778"/>
      <c r="T8" s="778"/>
      <c r="U8" s="778"/>
      <c r="V8" s="778"/>
      <c r="W8" s="778"/>
      <c r="X8" s="6"/>
    </row>
    <row r="9" spans="1:24" ht="8.1" customHeight="1">
      <c r="A9" s="780"/>
      <c r="B9" s="780"/>
      <c r="C9" s="780"/>
      <c r="D9" s="780"/>
      <c r="E9" s="780"/>
      <c r="F9" s="780"/>
      <c r="G9" s="780"/>
      <c r="H9" s="780"/>
      <c r="I9" s="780"/>
      <c r="J9" s="780"/>
      <c r="K9" s="780"/>
      <c r="L9" s="780"/>
      <c r="M9" s="780"/>
      <c r="N9" s="778"/>
      <c r="O9" s="778"/>
      <c r="P9" s="778"/>
      <c r="Q9" s="778"/>
      <c r="R9" s="722" t="s">
        <v>4</v>
      </c>
      <c r="S9" s="778"/>
      <c r="T9" s="778"/>
      <c r="U9" s="778"/>
      <c r="V9" s="80"/>
      <c r="W9" s="782" t="s">
        <v>151</v>
      </c>
      <c r="X9" s="6"/>
    </row>
    <row r="10" spans="1:24" ht="8.1" customHeight="1">
      <c r="A10" s="780"/>
      <c r="B10" s="780"/>
      <c r="C10" s="780"/>
      <c r="D10" s="780"/>
      <c r="E10" s="780"/>
      <c r="F10" s="780"/>
      <c r="G10" s="780"/>
      <c r="H10" s="780"/>
      <c r="I10" s="780"/>
      <c r="J10" s="780"/>
      <c r="K10" s="780"/>
      <c r="L10" s="780"/>
      <c r="M10" s="780"/>
      <c r="N10" s="778"/>
      <c r="O10" s="778"/>
      <c r="P10" s="778"/>
      <c r="Q10" s="778"/>
      <c r="R10" s="778"/>
      <c r="S10" s="778"/>
      <c r="T10" s="778"/>
      <c r="U10" s="778"/>
      <c r="V10" s="81"/>
      <c r="W10" s="726"/>
      <c r="X10" s="6"/>
    </row>
    <row r="11" spans="1:24" hidden="1">
      <c r="A11" s="780"/>
      <c r="B11" s="780"/>
      <c r="C11" s="780"/>
      <c r="D11" s="780"/>
      <c r="E11" s="780"/>
      <c r="F11" s="780"/>
      <c r="G11" s="780"/>
      <c r="H11" s="780"/>
      <c r="I11" s="780"/>
      <c r="J11" s="780"/>
      <c r="K11" s="780"/>
      <c r="L11" s="780"/>
      <c r="M11" s="780"/>
      <c r="N11" s="778"/>
      <c r="O11" s="778"/>
      <c r="P11" s="778"/>
      <c r="Q11" s="778"/>
      <c r="R11" s="778"/>
      <c r="S11" s="778"/>
      <c r="T11" s="778"/>
      <c r="U11" s="778"/>
      <c r="V11" s="81"/>
      <c r="W11" s="81"/>
      <c r="X11" s="6"/>
    </row>
    <row r="12" spans="1:24" ht="15.75" customHeight="1">
      <c r="A12" s="251"/>
      <c r="B12" s="87" t="s">
        <v>483</v>
      </c>
      <c r="C12" s="87"/>
      <c r="D12" s="87"/>
      <c r="E12" s="87"/>
      <c r="F12" s="87" t="s">
        <v>534</v>
      </c>
      <c r="G12" s="87"/>
      <c r="H12" s="87"/>
      <c r="I12" s="87"/>
      <c r="J12" s="87"/>
      <c r="K12" s="87"/>
      <c r="L12" s="87"/>
      <c r="M12" s="252"/>
      <c r="N12" s="257"/>
      <c r="O12" s="258">
        <v>34111000</v>
      </c>
      <c r="P12" s="259"/>
      <c r="Q12" s="258">
        <v>28141899</v>
      </c>
      <c r="R12" s="259"/>
      <c r="S12" s="258">
        <v>-5969101</v>
      </c>
      <c r="T12" s="258"/>
      <c r="U12" s="258"/>
      <c r="V12" s="259"/>
      <c r="W12" s="258" t="s">
        <v>652</v>
      </c>
      <c r="X12" s="6"/>
    </row>
    <row r="13" spans="1:24" ht="15.75" customHeight="1">
      <c r="A13" s="253"/>
      <c r="B13" s="88"/>
      <c r="C13" s="364" t="s">
        <v>484</v>
      </c>
      <c r="D13" s="364"/>
      <c r="E13" s="364"/>
      <c r="F13" s="88"/>
      <c r="G13" s="88" t="s">
        <v>535</v>
      </c>
      <c r="H13" s="88"/>
      <c r="I13" s="88"/>
      <c r="J13" s="88"/>
      <c r="K13" s="88"/>
      <c r="L13" s="88"/>
      <c r="M13" s="254"/>
      <c r="N13" s="260"/>
      <c r="O13" s="261"/>
      <c r="P13" s="261"/>
      <c r="Q13" s="262">
        <v>18133152</v>
      </c>
      <c r="R13" s="261"/>
      <c r="S13" s="262">
        <v>18133152</v>
      </c>
      <c r="T13" s="262"/>
      <c r="U13" s="262"/>
      <c r="V13" s="261"/>
      <c r="W13" s="261"/>
      <c r="X13" s="6"/>
    </row>
    <row r="14" spans="1:24" ht="15.75" customHeight="1">
      <c r="A14" s="253"/>
      <c r="B14" s="88"/>
      <c r="C14" s="364"/>
      <c r="D14" s="364" t="s">
        <v>536</v>
      </c>
      <c r="E14" s="364"/>
      <c r="F14" s="88"/>
      <c r="G14" s="88"/>
      <c r="H14" s="88"/>
      <c r="I14" s="88" t="s">
        <v>537</v>
      </c>
      <c r="J14" s="88"/>
      <c r="K14" s="88"/>
      <c r="L14" s="88"/>
      <c r="M14" s="254"/>
      <c r="N14" s="260"/>
      <c r="O14" s="261"/>
      <c r="P14" s="261"/>
      <c r="Q14" s="262">
        <v>17801252</v>
      </c>
      <c r="R14" s="261"/>
      <c r="S14" s="262">
        <v>17801252</v>
      </c>
      <c r="T14" s="262"/>
      <c r="U14" s="262"/>
      <c r="V14" s="261"/>
      <c r="W14" s="261"/>
      <c r="X14" s="6"/>
    </row>
    <row r="15" spans="1:24" ht="15.75" customHeight="1">
      <c r="A15" s="253"/>
      <c r="B15" s="88"/>
      <c r="C15" s="364"/>
      <c r="D15" s="364" t="s">
        <v>538</v>
      </c>
      <c r="E15" s="364"/>
      <c r="F15" s="88"/>
      <c r="G15" s="88"/>
      <c r="H15" s="88"/>
      <c r="I15" s="88" t="s">
        <v>539</v>
      </c>
      <c r="J15" s="88"/>
      <c r="K15" s="88"/>
      <c r="L15" s="88"/>
      <c r="M15" s="254"/>
      <c r="N15" s="260"/>
      <c r="O15" s="261"/>
      <c r="P15" s="261"/>
      <c r="Q15" s="262">
        <v>331900</v>
      </c>
      <c r="R15" s="261"/>
      <c r="S15" s="262">
        <v>331900</v>
      </c>
      <c r="T15" s="262"/>
      <c r="U15" s="262"/>
      <c r="V15" s="261"/>
      <c r="W15" s="261"/>
      <c r="X15" s="6"/>
    </row>
    <row r="16" spans="1:24" ht="15.75" customHeight="1">
      <c r="A16" s="253"/>
      <c r="B16" s="88"/>
      <c r="C16" s="364" t="s">
        <v>540</v>
      </c>
      <c r="D16" s="364"/>
      <c r="E16" s="364"/>
      <c r="F16" s="88"/>
      <c r="G16" s="88" t="s">
        <v>541</v>
      </c>
      <c r="H16" s="88"/>
      <c r="I16" s="88"/>
      <c r="J16" s="88"/>
      <c r="K16" s="88"/>
      <c r="L16" s="88"/>
      <c r="M16" s="254"/>
      <c r="N16" s="260"/>
      <c r="O16" s="261"/>
      <c r="P16" s="261"/>
      <c r="Q16" s="262">
        <v>175056</v>
      </c>
      <c r="R16" s="261"/>
      <c r="S16" s="262">
        <v>175056</v>
      </c>
      <c r="T16" s="262"/>
      <c r="U16" s="262"/>
      <c r="V16" s="261"/>
      <c r="W16" s="261"/>
      <c r="X16" s="6"/>
    </row>
    <row r="17" spans="1:24" ht="15.75" customHeight="1">
      <c r="A17" s="253"/>
      <c r="B17" s="88"/>
      <c r="C17" s="364"/>
      <c r="D17" s="364" t="s">
        <v>542</v>
      </c>
      <c r="E17" s="364"/>
      <c r="F17" s="88"/>
      <c r="G17" s="88"/>
      <c r="H17" s="88"/>
      <c r="I17" s="88" t="s">
        <v>543</v>
      </c>
      <c r="J17" s="88"/>
      <c r="K17" s="88"/>
      <c r="L17" s="88"/>
      <c r="M17" s="254"/>
      <c r="N17" s="260"/>
      <c r="O17" s="261"/>
      <c r="P17" s="261"/>
      <c r="Q17" s="262">
        <v>175056</v>
      </c>
      <c r="R17" s="261"/>
      <c r="S17" s="262">
        <v>175056</v>
      </c>
      <c r="T17" s="262"/>
      <c r="U17" s="262"/>
      <c r="V17" s="261"/>
      <c r="W17" s="261"/>
      <c r="X17" s="6"/>
    </row>
    <row r="18" spans="1:24" ht="15.75" customHeight="1">
      <c r="A18" s="253"/>
      <c r="B18" s="88"/>
      <c r="C18" s="364" t="s">
        <v>544</v>
      </c>
      <c r="D18" s="364"/>
      <c r="E18" s="364"/>
      <c r="F18" s="88"/>
      <c r="G18" s="88" t="s">
        <v>545</v>
      </c>
      <c r="H18" s="88"/>
      <c r="I18" s="88"/>
      <c r="J18" s="88"/>
      <c r="K18" s="88"/>
      <c r="L18" s="88"/>
      <c r="M18" s="254"/>
      <c r="N18" s="260"/>
      <c r="O18" s="261"/>
      <c r="P18" s="261"/>
      <c r="Q18" s="262">
        <v>361120</v>
      </c>
      <c r="R18" s="261"/>
      <c r="S18" s="262">
        <v>361120</v>
      </c>
      <c r="T18" s="262"/>
      <c r="U18" s="262"/>
      <c r="V18" s="261"/>
      <c r="W18" s="261"/>
      <c r="X18" s="6"/>
    </row>
    <row r="19" spans="1:24" ht="15.75" customHeight="1">
      <c r="A19" s="253"/>
      <c r="B19" s="88"/>
      <c r="C19" s="364"/>
      <c r="D19" s="364" t="s">
        <v>546</v>
      </c>
      <c r="E19" s="364"/>
      <c r="F19" s="88"/>
      <c r="G19" s="88"/>
      <c r="H19" s="88"/>
      <c r="I19" s="88" t="s">
        <v>547</v>
      </c>
      <c r="J19" s="88"/>
      <c r="K19" s="88"/>
      <c r="L19" s="88"/>
      <c r="M19" s="254"/>
      <c r="N19" s="260"/>
      <c r="O19" s="261"/>
      <c r="P19" s="261"/>
      <c r="Q19" s="262">
        <v>361120</v>
      </c>
      <c r="R19" s="261"/>
      <c r="S19" s="262">
        <v>361120</v>
      </c>
      <c r="T19" s="262"/>
      <c r="U19" s="262"/>
      <c r="V19" s="261"/>
      <c r="W19" s="261"/>
      <c r="X19" s="6"/>
    </row>
    <row r="20" spans="1:24" ht="15.75" customHeight="1">
      <c r="A20" s="253"/>
      <c r="B20" s="88"/>
      <c r="C20" s="364" t="s">
        <v>548</v>
      </c>
      <c r="D20" s="364"/>
      <c r="E20" s="364"/>
      <c r="F20" s="88"/>
      <c r="G20" s="88" t="s">
        <v>549</v>
      </c>
      <c r="H20" s="88"/>
      <c r="I20" s="88"/>
      <c r="J20" s="88"/>
      <c r="K20" s="88"/>
      <c r="L20" s="88"/>
      <c r="M20" s="254"/>
      <c r="N20" s="260"/>
      <c r="O20" s="261"/>
      <c r="P20" s="261"/>
      <c r="Q20" s="262">
        <v>5811772</v>
      </c>
      <c r="R20" s="261"/>
      <c r="S20" s="262">
        <v>5811772</v>
      </c>
      <c r="T20" s="262"/>
      <c r="U20" s="262"/>
      <c r="V20" s="261"/>
      <c r="W20" s="261"/>
      <c r="X20" s="6"/>
    </row>
    <row r="21" spans="1:24" ht="15.75" customHeight="1">
      <c r="A21" s="253"/>
      <c r="B21" s="88"/>
      <c r="C21" s="364"/>
      <c r="D21" s="364" t="s">
        <v>550</v>
      </c>
      <c r="E21" s="364"/>
      <c r="F21" s="88"/>
      <c r="G21" s="88"/>
      <c r="H21" s="88"/>
      <c r="I21" s="88" t="s">
        <v>551</v>
      </c>
      <c r="J21" s="88"/>
      <c r="K21" s="88"/>
      <c r="L21" s="88"/>
      <c r="M21" s="254"/>
      <c r="N21" s="260"/>
      <c r="O21" s="261"/>
      <c r="P21" s="261"/>
      <c r="Q21" s="262">
        <v>3118560</v>
      </c>
      <c r="R21" s="261"/>
      <c r="S21" s="262">
        <v>3118560</v>
      </c>
      <c r="T21" s="262"/>
      <c r="U21" s="262"/>
      <c r="V21" s="261"/>
      <c r="W21" s="261"/>
      <c r="X21" s="6"/>
    </row>
    <row r="22" spans="1:24" ht="15.75" customHeight="1">
      <c r="A22" s="253"/>
      <c r="B22" s="88"/>
      <c r="C22" s="364"/>
      <c r="D22" s="364" t="s">
        <v>552</v>
      </c>
      <c r="E22" s="364"/>
      <c r="F22" s="88"/>
      <c r="G22" s="88"/>
      <c r="H22" s="88"/>
      <c r="I22" s="88" t="s">
        <v>553</v>
      </c>
      <c r="J22" s="88"/>
      <c r="K22" s="88"/>
      <c r="L22" s="88"/>
      <c r="M22" s="254"/>
      <c r="N22" s="260"/>
      <c r="O22" s="261"/>
      <c r="P22" s="261"/>
      <c r="Q22" s="262">
        <v>2693212</v>
      </c>
      <c r="R22" s="261"/>
      <c r="S22" s="262">
        <v>2693212</v>
      </c>
      <c r="T22" s="262"/>
      <c r="U22" s="262"/>
      <c r="V22" s="261"/>
      <c r="W22" s="261"/>
      <c r="X22" s="6"/>
    </row>
    <row r="23" spans="1:24" ht="15.75" customHeight="1">
      <c r="A23" s="253"/>
      <c r="B23" s="88"/>
      <c r="C23" s="88" t="s">
        <v>554</v>
      </c>
      <c r="D23" s="88"/>
      <c r="E23" s="88"/>
      <c r="F23" s="88"/>
      <c r="G23" s="88" t="s">
        <v>555</v>
      </c>
      <c r="H23" s="88"/>
      <c r="I23" s="88"/>
      <c r="J23" s="88"/>
      <c r="K23" s="88"/>
      <c r="L23" s="88"/>
      <c r="M23" s="254"/>
      <c r="N23" s="260"/>
      <c r="O23" s="261"/>
      <c r="P23" s="261"/>
      <c r="Q23" s="262">
        <v>1946896</v>
      </c>
      <c r="R23" s="261"/>
      <c r="S23" s="262">
        <v>1946896</v>
      </c>
      <c r="T23" s="262"/>
      <c r="U23" s="262"/>
      <c r="V23" s="261"/>
      <c r="W23" s="261"/>
      <c r="X23" s="6"/>
    </row>
    <row r="24" spans="1:24" ht="15.75" customHeight="1">
      <c r="A24" s="253"/>
      <c r="B24" s="88"/>
      <c r="C24" s="88"/>
      <c r="D24" s="88" t="s">
        <v>556</v>
      </c>
      <c r="E24" s="88"/>
      <c r="F24" s="88"/>
      <c r="G24" s="88"/>
      <c r="H24" s="88"/>
      <c r="I24" s="88" t="s">
        <v>557</v>
      </c>
      <c r="J24" s="88"/>
      <c r="K24" s="88"/>
      <c r="L24" s="88"/>
      <c r="M24" s="254"/>
      <c r="N24" s="260"/>
      <c r="O24" s="261"/>
      <c r="P24" s="261"/>
      <c r="Q24" s="262">
        <v>1946896</v>
      </c>
      <c r="R24" s="261"/>
      <c r="S24" s="262">
        <v>1946896</v>
      </c>
      <c r="T24" s="262"/>
      <c r="U24" s="262"/>
      <c r="V24" s="261"/>
      <c r="W24" s="261"/>
      <c r="X24" s="6"/>
    </row>
    <row r="25" spans="1:24" ht="15.75" customHeight="1">
      <c r="A25" s="253"/>
      <c r="B25" s="88"/>
      <c r="C25" s="88" t="s">
        <v>558</v>
      </c>
      <c r="D25" s="88"/>
      <c r="E25" s="88"/>
      <c r="F25" s="88"/>
      <c r="G25" s="88" t="s">
        <v>559</v>
      </c>
      <c r="H25" s="88"/>
      <c r="I25" s="88"/>
      <c r="J25" s="88"/>
      <c r="K25" s="88"/>
      <c r="L25" s="88"/>
      <c r="M25" s="254"/>
      <c r="N25" s="260"/>
      <c r="O25" s="261"/>
      <c r="P25" s="261"/>
      <c r="Q25" s="262">
        <v>1713903</v>
      </c>
      <c r="R25" s="261"/>
      <c r="S25" s="262">
        <v>1713903</v>
      </c>
      <c r="T25" s="262"/>
      <c r="U25" s="262"/>
      <c r="V25" s="261"/>
      <c r="W25" s="261"/>
      <c r="X25" s="6"/>
    </row>
    <row r="26" spans="1:24" ht="15.75" customHeight="1">
      <c r="A26" s="253"/>
      <c r="B26" s="88"/>
      <c r="C26" s="88"/>
      <c r="D26" s="88" t="s">
        <v>560</v>
      </c>
      <c r="E26" s="88"/>
      <c r="F26" s="88"/>
      <c r="G26" s="88"/>
      <c r="H26" s="88"/>
      <c r="I26" s="88" t="s">
        <v>561</v>
      </c>
      <c r="J26" s="88"/>
      <c r="K26" s="88"/>
      <c r="L26" s="88"/>
      <c r="M26" s="254"/>
      <c r="N26" s="260"/>
      <c r="O26" s="261"/>
      <c r="P26" s="261"/>
      <c r="Q26" s="262">
        <v>1569903</v>
      </c>
      <c r="R26" s="261"/>
      <c r="S26" s="262">
        <v>1569903</v>
      </c>
      <c r="T26" s="262"/>
      <c r="U26" s="262"/>
      <c r="V26" s="261"/>
      <c r="W26" s="261"/>
      <c r="X26" s="6"/>
    </row>
    <row r="27" spans="1:24" ht="15.75" customHeight="1">
      <c r="A27" s="253"/>
      <c r="B27" s="88"/>
      <c r="C27" s="88"/>
      <c r="D27" s="88" t="s">
        <v>562</v>
      </c>
      <c r="E27" s="88"/>
      <c r="F27" s="88"/>
      <c r="G27" s="88"/>
      <c r="H27" s="88"/>
      <c r="I27" s="88" t="s">
        <v>563</v>
      </c>
      <c r="J27" s="88"/>
      <c r="K27" s="88"/>
      <c r="L27" s="88"/>
      <c r="M27" s="254"/>
      <c r="N27" s="260"/>
      <c r="O27" s="261"/>
      <c r="P27" s="261"/>
      <c r="Q27" s="262">
        <v>144000</v>
      </c>
      <c r="R27" s="261"/>
      <c r="S27" s="262">
        <v>144000</v>
      </c>
      <c r="T27" s="262"/>
      <c r="U27" s="262"/>
      <c r="V27" s="261"/>
      <c r="W27" s="261"/>
      <c r="X27" s="6"/>
    </row>
    <row r="28" spans="1:24" ht="15.75" customHeight="1">
      <c r="A28" s="253"/>
      <c r="B28" s="88" t="s">
        <v>521</v>
      </c>
      <c r="C28" s="88"/>
      <c r="D28" s="88"/>
      <c r="E28" s="88"/>
      <c r="F28" s="88" t="s">
        <v>564</v>
      </c>
      <c r="G28" s="88"/>
      <c r="H28" s="88"/>
      <c r="I28" s="88"/>
      <c r="J28" s="88"/>
      <c r="K28" s="88"/>
      <c r="L28" s="88"/>
      <c r="M28" s="254"/>
      <c r="N28" s="260"/>
      <c r="O28" s="262">
        <v>1265000</v>
      </c>
      <c r="P28" s="261"/>
      <c r="Q28" s="262">
        <v>718010</v>
      </c>
      <c r="R28" s="261"/>
      <c r="S28" s="262">
        <v>-546990</v>
      </c>
      <c r="T28" s="262"/>
      <c r="U28" s="262"/>
      <c r="V28" s="261"/>
      <c r="W28" s="262" t="s">
        <v>565</v>
      </c>
      <c r="X28" s="6"/>
    </row>
    <row r="29" spans="1:24" ht="15.75" customHeight="1">
      <c r="A29" s="253"/>
      <c r="B29" s="88"/>
      <c r="C29" s="88" t="s">
        <v>522</v>
      </c>
      <c r="D29" s="88"/>
      <c r="E29" s="88"/>
      <c r="F29" s="88"/>
      <c r="G29" s="88" t="s">
        <v>566</v>
      </c>
      <c r="H29" s="88"/>
      <c r="I29" s="88"/>
      <c r="J29" s="88"/>
      <c r="K29" s="88"/>
      <c r="L29" s="88"/>
      <c r="M29" s="254"/>
      <c r="N29" s="260"/>
      <c r="O29" s="261"/>
      <c r="P29" s="261"/>
      <c r="Q29" s="262">
        <v>138228</v>
      </c>
      <c r="R29" s="261"/>
      <c r="S29" s="262">
        <v>138228</v>
      </c>
      <c r="T29" s="262"/>
      <c r="U29" s="262"/>
      <c r="V29" s="261"/>
      <c r="W29" s="261"/>
      <c r="X29" s="6"/>
    </row>
    <row r="30" spans="1:24" ht="15.75" customHeight="1">
      <c r="A30" s="253"/>
      <c r="B30" s="88"/>
      <c r="C30" s="88"/>
      <c r="D30" s="88" t="s">
        <v>567</v>
      </c>
      <c r="E30" s="88"/>
      <c r="F30" s="88"/>
      <c r="G30" s="88"/>
      <c r="H30" s="88"/>
      <c r="I30" s="88" t="s">
        <v>568</v>
      </c>
      <c r="J30" s="88"/>
      <c r="K30" s="88"/>
      <c r="L30" s="88"/>
      <c r="M30" s="254"/>
      <c r="N30" s="260"/>
      <c r="O30" s="261"/>
      <c r="P30" s="261"/>
      <c r="Q30" s="262">
        <v>105603</v>
      </c>
      <c r="R30" s="261"/>
      <c r="S30" s="262">
        <v>105603</v>
      </c>
      <c r="T30" s="262"/>
      <c r="U30" s="262"/>
      <c r="V30" s="261"/>
      <c r="W30" s="261"/>
      <c r="X30" s="6"/>
    </row>
    <row r="31" spans="1:24" ht="15.75" customHeight="1">
      <c r="A31" s="253"/>
      <c r="B31" s="88"/>
      <c r="C31" s="88"/>
      <c r="D31" s="88" t="s">
        <v>569</v>
      </c>
      <c r="E31" s="88"/>
      <c r="F31" s="88"/>
      <c r="G31" s="88"/>
      <c r="H31" s="88"/>
      <c r="I31" s="88" t="s">
        <v>570</v>
      </c>
      <c r="J31" s="88"/>
      <c r="K31" s="88"/>
      <c r="L31" s="88"/>
      <c r="M31" s="254"/>
      <c r="N31" s="260"/>
      <c r="O31" s="261"/>
      <c r="P31" s="261"/>
      <c r="Q31" s="262">
        <v>32625</v>
      </c>
      <c r="R31" s="261"/>
      <c r="S31" s="262">
        <v>32625</v>
      </c>
      <c r="T31" s="262"/>
      <c r="U31" s="262"/>
      <c r="V31" s="261"/>
      <c r="W31" s="261"/>
      <c r="X31" s="6"/>
    </row>
    <row r="32" spans="1:24" ht="15.75" customHeight="1">
      <c r="A32" s="253"/>
      <c r="B32" s="88"/>
      <c r="C32" s="88" t="s">
        <v>571</v>
      </c>
      <c r="D32" s="88"/>
      <c r="E32" s="88"/>
      <c r="F32" s="88"/>
      <c r="G32" s="88" t="s">
        <v>572</v>
      </c>
      <c r="H32" s="88"/>
      <c r="I32" s="88"/>
      <c r="J32" s="88"/>
      <c r="K32" s="88"/>
      <c r="L32" s="88"/>
      <c r="M32" s="254"/>
      <c r="N32" s="260"/>
      <c r="O32" s="261"/>
      <c r="P32" s="261"/>
      <c r="Q32" s="262">
        <v>17176</v>
      </c>
      <c r="R32" s="261"/>
      <c r="S32" s="262">
        <v>17176</v>
      </c>
      <c r="T32" s="262"/>
      <c r="U32" s="262"/>
      <c r="V32" s="261"/>
      <c r="W32" s="261"/>
      <c r="X32" s="6"/>
    </row>
    <row r="33" spans="1:24" ht="15.75" customHeight="1">
      <c r="A33" s="253"/>
      <c r="B33" s="88"/>
      <c r="C33" s="88"/>
      <c r="D33" s="88" t="s">
        <v>573</v>
      </c>
      <c r="E33" s="88"/>
      <c r="F33" s="88"/>
      <c r="G33" s="88"/>
      <c r="H33" s="88"/>
      <c r="I33" s="88" t="s">
        <v>574</v>
      </c>
      <c r="J33" s="88"/>
      <c r="K33" s="88"/>
      <c r="L33" s="88"/>
      <c r="M33" s="254"/>
      <c r="N33" s="260"/>
      <c r="O33" s="261"/>
      <c r="P33" s="261"/>
      <c r="Q33" s="262">
        <v>3120</v>
      </c>
      <c r="R33" s="261"/>
      <c r="S33" s="262">
        <v>3120</v>
      </c>
      <c r="T33" s="262"/>
      <c r="U33" s="262"/>
      <c r="V33" s="261"/>
      <c r="W33" s="261"/>
      <c r="X33" s="6"/>
    </row>
    <row r="34" spans="1:24" ht="15.75" customHeight="1">
      <c r="A34" s="253"/>
      <c r="B34" s="88"/>
      <c r="C34" s="88"/>
      <c r="D34" s="88" t="s">
        <v>575</v>
      </c>
      <c r="E34" s="88"/>
      <c r="F34" s="88"/>
      <c r="G34" s="88"/>
      <c r="H34" s="88"/>
      <c r="I34" s="88" t="s">
        <v>576</v>
      </c>
      <c r="J34" s="88"/>
      <c r="K34" s="88"/>
      <c r="L34" s="88"/>
      <c r="M34" s="254"/>
      <c r="N34" s="260"/>
      <c r="O34" s="261"/>
      <c r="P34" s="261"/>
      <c r="Q34" s="262">
        <v>14056</v>
      </c>
      <c r="R34" s="261"/>
      <c r="S34" s="262">
        <v>14056</v>
      </c>
      <c r="T34" s="262"/>
      <c r="U34" s="262"/>
      <c r="V34" s="261"/>
      <c r="W34" s="261"/>
      <c r="X34" s="6"/>
    </row>
    <row r="35" spans="1:24" ht="15.75" customHeight="1">
      <c r="A35" s="253"/>
      <c r="B35" s="88"/>
      <c r="C35" s="88" t="s">
        <v>577</v>
      </c>
      <c r="D35" s="88"/>
      <c r="E35" s="88"/>
      <c r="F35" s="88"/>
      <c r="G35" s="88" t="s">
        <v>578</v>
      </c>
      <c r="H35" s="88"/>
      <c r="I35" s="88"/>
      <c r="J35" s="88"/>
      <c r="K35" s="88"/>
      <c r="L35" s="88"/>
      <c r="M35" s="254"/>
      <c r="N35" s="260"/>
      <c r="O35" s="261"/>
      <c r="P35" s="261"/>
      <c r="Q35" s="262">
        <v>3952</v>
      </c>
      <c r="R35" s="261"/>
      <c r="S35" s="262">
        <v>3952</v>
      </c>
      <c r="T35" s="262"/>
      <c r="U35" s="262"/>
      <c r="V35" s="261"/>
      <c r="W35" s="261"/>
      <c r="X35" s="6"/>
    </row>
    <row r="36" spans="1:24" ht="15.6" customHeight="1">
      <c r="A36" s="255"/>
      <c r="B36" s="89"/>
      <c r="C36" s="89"/>
      <c r="D36" s="89" t="s">
        <v>579</v>
      </c>
      <c r="E36" s="89"/>
      <c r="F36" s="89"/>
      <c r="G36" s="89"/>
      <c r="H36" s="89"/>
      <c r="I36" s="89" t="s">
        <v>580</v>
      </c>
      <c r="J36" s="89"/>
      <c r="K36" s="89"/>
      <c r="L36" s="89"/>
      <c r="M36" s="256"/>
      <c r="N36" s="263"/>
      <c r="O36" s="264"/>
      <c r="P36" s="264"/>
      <c r="Q36" s="265">
        <v>3952</v>
      </c>
      <c r="R36" s="264"/>
      <c r="S36" s="265">
        <v>3952</v>
      </c>
      <c r="T36" s="265"/>
      <c r="U36" s="265"/>
      <c r="V36" s="264"/>
      <c r="W36" s="264"/>
      <c r="X36" s="6"/>
    </row>
    <row r="37" spans="1:24" ht="15.75" customHeight="1">
      <c r="A37" s="251"/>
      <c r="B37" s="87"/>
      <c r="C37" s="87" t="s">
        <v>581</v>
      </c>
      <c r="D37" s="87"/>
      <c r="E37" s="87"/>
      <c r="F37" s="87"/>
      <c r="G37" s="87" t="s">
        <v>582</v>
      </c>
      <c r="H37" s="87"/>
      <c r="I37" s="87"/>
      <c r="J37" s="87"/>
      <c r="K37" s="87"/>
      <c r="L37" s="87"/>
      <c r="M37" s="252"/>
      <c r="N37" s="257"/>
      <c r="O37" s="259"/>
      <c r="P37" s="259"/>
      <c r="Q37" s="258">
        <v>27976</v>
      </c>
      <c r="R37" s="259"/>
      <c r="S37" s="258">
        <v>27976</v>
      </c>
      <c r="T37" s="258"/>
      <c r="U37" s="258"/>
      <c r="V37" s="259"/>
      <c r="W37" s="259"/>
      <c r="X37" s="6"/>
    </row>
    <row r="38" spans="1:24" ht="15.75" customHeight="1">
      <c r="A38" s="253"/>
      <c r="B38" s="88"/>
      <c r="C38" s="88"/>
      <c r="D38" s="88" t="s">
        <v>583</v>
      </c>
      <c r="E38" s="88"/>
      <c r="F38" s="88"/>
      <c r="G38" s="88"/>
      <c r="H38" s="88"/>
      <c r="I38" s="88" t="s">
        <v>584</v>
      </c>
      <c r="J38" s="88"/>
      <c r="K38" s="88"/>
      <c r="L38" s="88"/>
      <c r="M38" s="254"/>
      <c r="N38" s="260"/>
      <c r="O38" s="261"/>
      <c r="P38" s="261"/>
      <c r="Q38" s="262">
        <v>27976</v>
      </c>
      <c r="R38" s="261"/>
      <c r="S38" s="262">
        <v>27976</v>
      </c>
      <c r="T38" s="262"/>
      <c r="U38" s="262"/>
      <c r="V38" s="261"/>
      <c r="W38" s="261"/>
      <c r="X38" s="6"/>
    </row>
    <row r="39" spans="1:24" ht="15.75" customHeight="1">
      <c r="A39" s="253"/>
      <c r="B39" s="88"/>
      <c r="C39" s="88" t="s">
        <v>585</v>
      </c>
      <c r="D39" s="88"/>
      <c r="E39" s="88"/>
      <c r="F39" s="88"/>
      <c r="G39" s="88" t="s">
        <v>586</v>
      </c>
      <c r="H39" s="88"/>
      <c r="I39" s="88"/>
      <c r="J39" s="88"/>
      <c r="K39" s="88"/>
      <c r="L39" s="88"/>
      <c r="M39" s="254"/>
      <c r="N39" s="260"/>
      <c r="O39" s="261"/>
      <c r="P39" s="261"/>
      <c r="Q39" s="262">
        <v>97343</v>
      </c>
      <c r="R39" s="261"/>
      <c r="S39" s="262">
        <v>97343</v>
      </c>
      <c r="T39" s="262"/>
      <c r="U39" s="262"/>
      <c r="V39" s="261"/>
      <c r="W39" s="261"/>
      <c r="X39" s="6"/>
    </row>
    <row r="40" spans="1:24" ht="15.75" customHeight="1">
      <c r="A40" s="253"/>
      <c r="B40" s="88"/>
      <c r="C40" s="88"/>
      <c r="D40" s="88" t="s">
        <v>587</v>
      </c>
      <c r="E40" s="88"/>
      <c r="F40" s="88"/>
      <c r="G40" s="88"/>
      <c r="H40" s="88"/>
      <c r="I40" s="88" t="s">
        <v>588</v>
      </c>
      <c r="J40" s="88"/>
      <c r="K40" s="88"/>
      <c r="L40" s="88"/>
      <c r="M40" s="254"/>
      <c r="N40" s="260"/>
      <c r="O40" s="261"/>
      <c r="P40" s="261"/>
      <c r="Q40" s="262">
        <v>1800</v>
      </c>
      <c r="R40" s="261"/>
      <c r="S40" s="262">
        <v>1800</v>
      </c>
      <c r="T40" s="262"/>
      <c r="U40" s="262"/>
      <c r="V40" s="261"/>
      <c r="W40" s="261"/>
      <c r="X40" s="6"/>
    </row>
    <row r="41" spans="1:24" ht="15.75" customHeight="1">
      <c r="A41" s="253"/>
      <c r="B41" s="88"/>
      <c r="C41" s="88"/>
      <c r="D41" s="88" t="s">
        <v>589</v>
      </c>
      <c r="E41" s="88"/>
      <c r="F41" s="88"/>
      <c r="G41" s="88"/>
      <c r="H41" s="88"/>
      <c r="I41" s="88" t="s">
        <v>590</v>
      </c>
      <c r="J41" s="88"/>
      <c r="K41" s="88"/>
      <c r="L41" s="88"/>
      <c r="M41" s="254"/>
      <c r="N41" s="260"/>
      <c r="O41" s="261"/>
      <c r="P41" s="261"/>
      <c r="Q41" s="262">
        <v>20303</v>
      </c>
      <c r="R41" s="261"/>
      <c r="S41" s="262">
        <v>20303</v>
      </c>
      <c r="T41" s="262"/>
      <c r="U41" s="262"/>
      <c r="V41" s="261"/>
      <c r="W41" s="261"/>
      <c r="X41" s="6"/>
    </row>
    <row r="42" spans="1:24" ht="15.75" customHeight="1">
      <c r="A42" s="253"/>
      <c r="B42" s="88"/>
      <c r="C42" s="88"/>
      <c r="D42" s="88" t="s">
        <v>591</v>
      </c>
      <c r="E42" s="88"/>
      <c r="F42" s="88"/>
      <c r="G42" s="88"/>
      <c r="H42" s="88"/>
      <c r="I42" s="88" t="s">
        <v>592</v>
      </c>
      <c r="J42" s="88"/>
      <c r="K42" s="88"/>
      <c r="L42" s="88"/>
      <c r="M42" s="254"/>
      <c r="N42" s="260"/>
      <c r="O42" s="261"/>
      <c r="P42" s="261"/>
      <c r="Q42" s="262">
        <v>19250</v>
      </c>
      <c r="R42" s="261"/>
      <c r="S42" s="262">
        <v>19250</v>
      </c>
      <c r="T42" s="262"/>
      <c r="U42" s="262"/>
      <c r="V42" s="261"/>
      <c r="W42" s="261"/>
      <c r="X42" s="6"/>
    </row>
    <row r="43" spans="1:24" ht="15.75" customHeight="1">
      <c r="A43" s="253"/>
      <c r="B43" s="88"/>
      <c r="C43" s="88"/>
      <c r="D43" s="88" t="s">
        <v>593</v>
      </c>
      <c r="E43" s="88"/>
      <c r="F43" s="88"/>
      <c r="G43" s="88"/>
      <c r="H43" s="88"/>
      <c r="I43" s="88" t="s">
        <v>594</v>
      </c>
      <c r="J43" s="88"/>
      <c r="K43" s="88"/>
      <c r="L43" s="88"/>
      <c r="M43" s="254"/>
      <c r="N43" s="260"/>
      <c r="O43" s="261"/>
      <c r="P43" s="261"/>
      <c r="Q43" s="262">
        <v>55990</v>
      </c>
      <c r="R43" s="261"/>
      <c r="S43" s="262">
        <v>55990</v>
      </c>
      <c r="T43" s="262"/>
      <c r="U43" s="262"/>
      <c r="V43" s="261"/>
      <c r="W43" s="261"/>
      <c r="X43" s="6"/>
    </row>
    <row r="44" spans="1:24" ht="15.75" customHeight="1">
      <c r="A44" s="253"/>
      <c r="B44" s="88"/>
      <c r="C44" s="88" t="s">
        <v>595</v>
      </c>
      <c r="D44" s="88"/>
      <c r="E44" s="88"/>
      <c r="F44" s="88"/>
      <c r="G44" s="88" t="s">
        <v>596</v>
      </c>
      <c r="H44" s="88"/>
      <c r="I44" s="88"/>
      <c r="J44" s="88"/>
      <c r="K44" s="88"/>
      <c r="L44" s="88"/>
      <c r="M44" s="254"/>
      <c r="N44" s="260"/>
      <c r="O44" s="261"/>
      <c r="P44" s="261"/>
      <c r="Q44" s="262">
        <v>320195</v>
      </c>
      <c r="R44" s="261"/>
      <c r="S44" s="262">
        <v>320195</v>
      </c>
      <c r="T44" s="262"/>
      <c r="U44" s="262"/>
      <c r="V44" s="261"/>
      <c r="W44" s="261"/>
      <c r="X44" s="6"/>
    </row>
    <row r="45" spans="1:24" ht="15.75" customHeight="1">
      <c r="A45" s="253"/>
      <c r="B45" s="88"/>
      <c r="C45" s="88"/>
      <c r="D45" s="88" t="s">
        <v>597</v>
      </c>
      <c r="E45" s="88"/>
      <c r="F45" s="88"/>
      <c r="G45" s="88"/>
      <c r="H45" s="88"/>
      <c r="I45" s="88" t="s">
        <v>598</v>
      </c>
      <c r="J45" s="88"/>
      <c r="K45" s="88"/>
      <c r="L45" s="88"/>
      <c r="M45" s="254"/>
      <c r="N45" s="260"/>
      <c r="O45" s="261"/>
      <c r="P45" s="261"/>
      <c r="Q45" s="262">
        <v>300195</v>
      </c>
      <c r="R45" s="261"/>
      <c r="S45" s="262">
        <v>300195</v>
      </c>
      <c r="T45" s="262"/>
      <c r="U45" s="262"/>
      <c r="V45" s="261"/>
      <c r="W45" s="261"/>
      <c r="X45" s="6"/>
    </row>
    <row r="46" spans="1:24" ht="15.75" customHeight="1">
      <c r="A46" s="253"/>
      <c r="B46" s="88"/>
      <c r="C46" s="88"/>
      <c r="D46" s="88" t="s">
        <v>599</v>
      </c>
      <c r="E46" s="88"/>
      <c r="F46" s="88"/>
      <c r="G46" s="88"/>
      <c r="H46" s="88"/>
      <c r="I46" s="88" t="s">
        <v>600</v>
      </c>
      <c r="J46" s="88"/>
      <c r="K46" s="88"/>
      <c r="L46" s="88"/>
      <c r="M46" s="254"/>
      <c r="N46" s="260"/>
      <c r="O46" s="261"/>
      <c r="P46" s="261"/>
      <c r="Q46" s="262">
        <v>20000</v>
      </c>
      <c r="R46" s="261"/>
      <c r="S46" s="262">
        <v>20000</v>
      </c>
      <c r="T46" s="262"/>
      <c r="U46" s="262"/>
      <c r="V46" s="261"/>
      <c r="W46" s="261"/>
      <c r="X46" s="6"/>
    </row>
    <row r="47" spans="1:24" ht="15.75" customHeight="1">
      <c r="A47" s="253"/>
      <c r="B47" s="88"/>
      <c r="C47" s="88" t="s">
        <v>526</v>
      </c>
      <c r="D47" s="88"/>
      <c r="E47" s="88"/>
      <c r="F47" s="88"/>
      <c r="G47" s="88" t="s">
        <v>601</v>
      </c>
      <c r="H47" s="88"/>
      <c r="I47" s="88"/>
      <c r="J47" s="88"/>
      <c r="K47" s="88"/>
      <c r="L47" s="88"/>
      <c r="M47" s="254"/>
      <c r="N47" s="260"/>
      <c r="O47" s="261"/>
      <c r="P47" s="261"/>
      <c r="Q47" s="262">
        <v>86260</v>
      </c>
      <c r="R47" s="261"/>
      <c r="S47" s="262">
        <v>86260</v>
      </c>
      <c r="T47" s="262"/>
      <c r="U47" s="262"/>
      <c r="V47" s="261"/>
      <c r="W47" s="261"/>
      <c r="X47" s="6"/>
    </row>
    <row r="48" spans="1:24" ht="15.75" customHeight="1">
      <c r="A48" s="253"/>
      <c r="B48" s="88"/>
      <c r="C48" s="88"/>
      <c r="D48" s="88" t="s">
        <v>602</v>
      </c>
      <c r="E48" s="88"/>
      <c r="F48" s="88"/>
      <c r="G48" s="88"/>
      <c r="H48" s="88"/>
      <c r="I48" s="88" t="s">
        <v>603</v>
      </c>
      <c r="J48" s="88"/>
      <c r="K48" s="88"/>
      <c r="L48" s="88"/>
      <c r="M48" s="254"/>
      <c r="N48" s="260"/>
      <c r="O48" s="261"/>
      <c r="P48" s="261"/>
      <c r="Q48" s="262">
        <v>47760</v>
      </c>
      <c r="R48" s="261"/>
      <c r="S48" s="262">
        <v>47760</v>
      </c>
      <c r="T48" s="262"/>
      <c r="U48" s="262"/>
      <c r="V48" s="261"/>
      <c r="W48" s="261"/>
      <c r="X48" s="6"/>
    </row>
    <row r="49" spans="1:24" ht="15.75" customHeight="1">
      <c r="A49" s="253"/>
      <c r="B49" s="88"/>
      <c r="C49" s="88"/>
      <c r="D49" s="88" t="s">
        <v>604</v>
      </c>
      <c r="E49" s="88"/>
      <c r="F49" s="88"/>
      <c r="G49" s="88"/>
      <c r="H49" s="88"/>
      <c r="I49" s="88" t="s">
        <v>605</v>
      </c>
      <c r="J49" s="88"/>
      <c r="K49" s="88"/>
      <c r="L49" s="88"/>
      <c r="M49" s="254"/>
      <c r="N49" s="260"/>
      <c r="O49" s="261"/>
      <c r="P49" s="261"/>
      <c r="Q49" s="262">
        <v>38500</v>
      </c>
      <c r="R49" s="261"/>
      <c r="S49" s="262">
        <v>38500</v>
      </c>
      <c r="T49" s="262"/>
      <c r="U49" s="262"/>
      <c r="V49" s="261"/>
      <c r="W49" s="261"/>
      <c r="X49" s="6"/>
    </row>
    <row r="50" spans="1:24" ht="15.75" customHeight="1">
      <c r="A50" s="253"/>
      <c r="B50" s="88"/>
      <c r="C50" s="88" t="s">
        <v>606</v>
      </c>
      <c r="D50" s="88"/>
      <c r="E50" s="88"/>
      <c r="F50" s="88"/>
      <c r="G50" s="88" t="s">
        <v>607</v>
      </c>
      <c r="H50" s="88"/>
      <c r="I50" s="88"/>
      <c r="J50" s="88"/>
      <c r="K50" s="88"/>
      <c r="L50" s="88"/>
      <c r="M50" s="254"/>
      <c r="N50" s="260"/>
      <c r="O50" s="261"/>
      <c r="P50" s="261"/>
      <c r="Q50" s="262">
        <v>26880</v>
      </c>
      <c r="R50" s="261"/>
      <c r="S50" s="262">
        <v>26880</v>
      </c>
      <c r="T50" s="262"/>
      <c r="U50" s="262"/>
      <c r="V50" s="261"/>
      <c r="W50" s="261"/>
      <c r="X50" s="6"/>
    </row>
    <row r="51" spans="1:24" ht="15.75" customHeight="1">
      <c r="A51" s="253"/>
      <c r="B51" s="88"/>
      <c r="C51" s="88"/>
      <c r="D51" s="88" t="s">
        <v>608</v>
      </c>
      <c r="E51" s="88"/>
      <c r="F51" s="88"/>
      <c r="G51" s="88"/>
      <c r="H51" s="88"/>
      <c r="I51" s="88" t="s">
        <v>607</v>
      </c>
      <c r="J51" s="88"/>
      <c r="K51" s="88"/>
      <c r="L51" s="88"/>
      <c r="M51" s="254"/>
      <c r="N51" s="260"/>
      <c r="O51" s="261"/>
      <c r="P51" s="261"/>
      <c r="Q51" s="262">
        <v>26880</v>
      </c>
      <c r="R51" s="261"/>
      <c r="S51" s="262">
        <v>26880</v>
      </c>
      <c r="T51" s="262"/>
      <c r="U51" s="262"/>
      <c r="V51" s="261"/>
      <c r="W51" s="261"/>
      <c r="X51" s="6"/>
    </row>
    <row r="52" spans="1:24" ht="15.75" customHeight="1">
      <c r="A52" s="253"/>
      <c r="B52" s="88" t="s">
        <v>529</v>
      </c>
      <c r="C52" s="88"/>
      <c r="D52" s="88"/>
      <c r="E52" s="88"/>
      <c r="F52" s="88" t="s">
        <v>609</v>
      </c>
      <c r="G52" s="88"/>
      <c r="H52" s="88"/>
      <c r="I52" s="88"/>
      <c r="J52" s="88"/>
      <c r="K52" s="88"/>
      <c r="L52" s="88"/>
      <c r="M52" s="254"/>
      <c r="N52" s="260"/>
      <c r="O52" s="261">
        <v>208000</v>
      </c>
      <c r="P52" s="261"/>
      <c r="Q52" s="262">
        <v>47813</v>
      </c>
      <c r="R52" s="261"/>
      <c r="S52" s="262">
        <v>-160187</v>
      </c>
      <c r="T52" s="262"/>
      <c r="U52" s="262"/>
      <c r="V52" s="261"/>
      <c r="W52" s="261" t="s">
        <v>610</v>
      </c>
      <c r="X52" s="6"/>
    </row>
    <row r="53" spans="1:24" ht="15.75" customHeight="1">
      <c r="A53" s="253"/>
      <c r="B53" s="88"/>
      <c r="C53" s="88" t="s">
        <v>611</v>
      </c>
      <c r="D53" s="88"/>
      <c r="E53" s="88"/>
      <c r="F53" s="88"/>
      <c r="G53" s="88" t="s">
        <v>612</v>
      </c>
      <c r="H53" s="88"/>
      <c r="I53" s="88"/>
      <c r="J53" s="88"/>
      <c r="K53" s="88"/>
      <c r="L53" s="88"/>
      <c r="M53" s="254"/>
      <c r="N53" s="260"/>
      <c r="O53" s="262"/>
      <c r="P53" s="261"/>
      <c r="Q53" s="262">
        <v>47813</v>
      </c>
      <c r="R53" s="261"/>
      <c r="S53" s="262">
        <v>47813</v>
      </c>
      <c r="T53" s="262"/>
      <c r="U53" s="262"/>
      <c r="V53" s="261"/>
      <c r="W53" s="262"/>
      <c r="X53" s="6"/>
    </row>
    <row r="54" spans="1:24" ht="15.75" customHeight="1">
      <c r="A54" s="253"/>
      <c r="B54" s="88"/>
      <c r="C54" s="88"/>
      <c r="D54" s="88" t="s">
        <v>613</v>
      </c>
      <c r="E54" s="88"/>
      <c r="F54" s="88"/>
      <c r="G54" s="88"/>
      <c r="H54" s="88"/>
      <c r="I54" s="88" t="s">
        <v>614</v>
      </c>
      <c r="J54" s="88"/>
      <c r="K54" s="88"/>
      <c r="L54" s="88"/>
      <c r="M54" s="254"/>
      <c r="N54" s="260"/>
      <c r="O54" s="261"/>
      <c r="P54" s="261"/>
      <c r="Q54" s="262">
        <v>14874</v>
      </c>
      <c r="R54" s="261"/>
      <c r="S54" s="262">
        <v>14874</v>
      </c>
      <c r="T54" s="262"/>
      <c r="U54" s="262"/>
      <c r="V54" s="261"/>
      <c r="W54" s="261"/>
      <c r="X54" s="6"/>
    </row>
    <row r="55" spans="1:24" ht="15.75" customHeight="1">
      <c r="A55" s="253"/>
      <c r="B55" s="88"/>
      <c r="C55" s="88"/>
      <c r="D55" s="88" t="s">
        <v>615</v>
      </c>
      <c r="E55" s="88"/>
      <c r="F55" s="88"/>
      <c r="G55" s="88"/>
      <c r="H55" s="88"/>
      <c r="I55" s="88" t="s">
        <v>616</v>
      </c>
      <c r="J55" s="88"/>
      <c r="K55" s="88"/>
      <c r="L55" s="88"/>
      <c r="M55" s="254"/>
      <c r="N55" s="260"/>
      <c r="O55" s="261"/>
      <c r="P55" s="261"/>
      <c r="Q55" s="262">
        <v>8475</v>
      </c>
      <c r="R55" s="261"/>
      <c r="S55" s="262">
        <v>8475</v>
      </c>
      <c r="T55" s="262"/>
      <c r="U55" s="262"/>
      <c r="V55" s="261"/>
      <c r="W55" s="261"/>
      <c r="X55" s="6"/>
    </row>
    <row r="56" spans="1:24" ht="15.75" customHeight="1">
      <c r="A56" s="253"/>
      <c r="B56" s="88"/>
      <c r="C56" s="88"/>
      <c r="D56" s="88" t="s">
        <v>617</v>
      </c>
      <c r="E56" s="88"/>
      <c r="F56" s="88"/>
      <c r="G56" s="88"/>
      <c r="H56" s="88"/>
      <c r="I56" s="88" t="s">
        <v>618</v>
      </c>
      <c r="J56" s="88"/>
      <c r="K56" s="88"/>
      <c r="L56" s="88"/>
      <c r="M56" s="254"/>
      <c r="N56" s="260"/>
      <c r="O56" s="261"/>
      <c r="P56" s="261"/>
      <c r="Q56" s="262">
        <v>3260</v>
      </c>
      <c r="R56" s="261"/>
      <c r="S56" s="262">
        <v>3260</v>
      </c>
      <c r="T56" s="262"/>
      <c r="U56" s="262"/>
      <c r="V56" s="261"/>
      <c r="W56" s="261"/>
      <c r="X56" s="6"/>
    </row>
    <row r="57" spans="1:24" ht="15.75" customHeight="1">
      <c r="A57" s="253"/>
      <c r="B57" s="88"/>
      <c r="C57" s="88"/>
      <c r="D57" s="88" t="s">
        <v>619</v>
      </c>
      <c r="E57" s="88"/>
      <c r="F57" s="88"/>
      <c r="G57" s="88"/>
      <c r="H57" s="88"/>
      <c r="I57" s="88" t="s">
        <v>620</v>
      </c>
      <c r="J57" s="88"/>
      <c r="K57" s="88"/>
      <c r="L57" s="88"/>
      <c r="M57" s="254"/>
      <c r="N57" s="260"/>
      <c r="O57" s="261"/>
      <c r="P57" s="261"/>
      <c r="Q57" s="262">
        <v>21204</v>
      </c>
      <c r="R57" s="261"/>
      <c r="S57" s="262">
        <v>21204</v>
      </c>
      <c r="T57" s="262"/>
      <c r="U57" s="262"/>
      <c r="V57" s="261"/>
      <c r="W57" s="261"/>
      <c r="X57" s="6"/>
    </row>
    <row r="58" spans="1:24" ht="15.75" customHeight="1">
      <c r="A58" s="253"/>
      <c r="B58" s="88" t="s">
        <v>621</v>
      </c>
      <c r="C58" s="88"/>
      <c r="D58" s="88"/>
      <c r="E58" s="88"/>
      <c r="F58" s="88" t="s">
        <v>622</v>
      </c>
      <c r="G58" s="88"/>
      <c r="H58" s="88"/>
      <c r="I58" s="88"/>
      <c r="J58" s="88"/>
      <c r="K58" s="88"/>
      <c r="L58" s="88"/>
      <c r="M58" s="254"/>
      <c r="N58" s="260"/>
      <c r="O58" s="261">
        <v>416000</v>
      </c>
      <c r="P58" s="261"/>
      <c r="Q58" s="262">
        <v>373666</v>
      </c>
      <c r="R58" s="261"/>
      <c r="S58" s="262">
        <v>-42334</v>
      </c>
      <c r="T58" s="262"/>
      <c r="U58" s="262"/>
      <c r="V58" s="261"/>
      <c r="W58" s="261" t="s">
        <v>623</v>
      </c>
      <c r="X58" s="6"/>
    </row>
    <row r="59" spans="1:24" ht="15.75" customHeight="1">
      <c r="A59" s="253"/>
      <c r="B59" s="88"/>
      <c r="C59" s="88" t="s">
        <v>624</v>
      </c>
      <c r="D59" s="88"/>
      <c r="E59" s="88"/>
      <c r="F59" s="88"/>
      <c r="G59" s="88" t="s">
        <v>625</v>
      </c>
      <c r="H59" s="88"/>
      <c r="I59" s="88"/>
      <c r="J59" s="88"/>
      <c r="K59" s="88"/>
      <c r="L59" s="88"/>
      <c r="M59" s="254"/>
      <c r="N59" s="260"/>
      <c r="O59" s="261"/>
      <c r="P59" s="261"/>
      <c r="Q59" s="262">
        <v>315120</v>
      </c>
      <c r="R59" s="261"/>
      <c r="S59" s="262">
        <v>315120</v>
      </c>
      <c r="T59" s="262"/>
      <c r="U59" s="262"/>
      <c r="V59" s="261"/>
      <c r="W59" s="261"/>
      <c r="X59" s="6"/>
    </row>
    <row r="60" spans="1:24" ht="15.75" customHeight="1">
      <c r="A60" s="253"/>
      <c r="B60" s="88"/>
      <c r="C60" s="88"/>
      <c r="D60" s="88" t="s">
        <v>626</v>
      </c>
      <c r="E60" s="88"/>
      <c r="F60" s="88"/>
      <c r="G60" s="88"/>
      <c r="H60" s="88"/>
      <c r="I60" s="88" t="s">
        <v>627</v>
      </c>
      <c r="J60" s="88"/>
      <c r="K60" s="88"/>
      <c r="L60" s="88"/>
      <c r="M60" s="254"/>
      <c r="N60" s="260"/>
      <c r="O60" s="261"/>
      <c r="P60" s="261"/>
      <c r="Q60" s="262">
        <v>315120</v>
      </c>
      <c r="R60" s="261"/>
      <c r="S60" s="262">
        <v>315120</v>
      </c>
      <c r="T60" s="262"/>
      <c r="U60" s="262"/>
      <c r="V60" s="261"/>
      <c r="W60" s="261"/>
      <c r="X60" s="6"/>
    </row>
    <row r="61" spans="1:24" ht="15.75" customHeight="1">
      <c r="A61" s="255"/>
      <c r="B61" s="89"/>
      <c r="C61" s="89" t="s">
        <v>628</v>
      </c>
      <c r="D61" s="89"/>
      <c r="E61" s="89"/>
      <c r="F61" s="89"/>
      <c r="G61" s="89" t="s">
        <v>629</v>
      </c>
      <c r="H61" s="89"/>
      <c r="I61" s="89"/>
      <c r="J61" s="89"/>
      <c r="K61" s="89"/>
      <c r="L61" s="89"/>
      <c r="M61" s="256"/>
      <c r="N61" s="263"/>
      <c r="O61" s="264"/>
      <c r="P61" s="264"/>
      <c r="Q61" s="265">
        <v>58546</v>
      </c>
      <c r="R61" s="264"/>
      <c r="S61" s="265">
        <v>58546</v>
      </c>
      <c r="T61" s="265"/>
      <c r="U61" s="265"/>
      <c r="V61" s="264"/>
      <c r="W61" s="264"/>
      <c r="X61" s="6"/>
    </row>
    <row r="62" spans="1:24" ht="15.75" customHeight="1">
      <c r="A62" s="251"/>
      <c r="B62" s="87"/>
      <c r="C62" s="87"/>
      <c r="D62" s="87" t="s">
        <v>630</v>
      </c>
      <c r="E62" s="87"/>
      <c r="F62" s="87"/>
      <c r="G62" s="87"/>
      <c r="H62" s="87"/>
      <c r="I62" s="87" t="s">
        <v>629</v>
      </c>
      <c r="J62" s="87"/>
      <c r="K62" s="87"/>
      <c r="L62" s="87"/>
      <c r="M62" s="252"/>
      <c r="N62" s="257"/>
      <c r="O62" s="258"/>
      <c r="P62" s="259"/>
      <c r="Q62" s="259">
        <v>58546</v>
      </c>
      <c r="R62" s="259"/>
      <c r="S62" s="258">
        <v>58546</v>
      </c>
      <c r="T62" s="258"/>
      <c r="U62" s="258"/>
      <c r="V62" s="259"/>
      <c r="W62" s="258"/>
      <c r="X62" s="6"/>
    </row>
    <row r="63" spans="1:24" ht="15.75" customHeight="1">
      <c r="A63" s="253"/>
      <c r="B63" s="88" t="s">
        <v>631</v>
      </c>
      <c r="C63" s="88"/>
      <c r="D63" s="88"/>
      <c r="E63" s="88"/>
      <c r="F63" s="88" t="s">
        <v>632</v>
      </c>
      <c r="G63" s="88"/>
      <c r="H63" s="88"/>
      <c r="I63" s="88"/>
      <c r="J63" s="88"/>
      <c r="K63" s="88"/>
      <c r="L63" s="88"/>
      <c r="M63" s="254"/>
      <c r="N63" s="260"/>
      <c r="O63" s="262">
        <v>33000</v>
      </c>
      <c r="P63" s="261"/>
      <c r="Q63" s="262">
        <v>10440</v>
      </c>
      <c r="R63" s="261"/>
      <c r="S63" s="262">
        <v>-22560</v>
      </c>
      <c r="T63" s="262"/>
      <c r="U63" s="262"/>
      <c r="V63" s="261"/>
      <c r="W63" s="262" t="s">
        <v>633</v>
      </c>
      <c r="X63" s="6"/>
    </row>
    <row r="64" spans="1:24" ht="15.75" customHeight="1">
      <c r="A64" s="253"/>
      <c r="B64" s="88"/>
      <c r="C64" s="88" t="s">
        <v>634</v>
      </c>
      <c r="D64" s="88"/>
      <c r="E64" s="88"/>
      <c r="F64" s="88"/>
      <c r="G64" s="88" t="s">
        <v>635</v>
      </c>
      <c r="H64" s="88"/>
      <c r="I64" s="88"/>
      <c r="J64" s="88"/>
      <c r="K64" s="88"/>
      <c r="L64" s="88"/>
      <c r="M64" s="254"/>
      <c r="N64" s="260"/>
      <c r="O64" s="262"/>
      <c r="P64" s="261"/>
      <c r="Q64" s="262">
        <v>1000</v>
      </c>
      <c r="R64" s="261"/>
      <c r="S64" s="262">
        <v>1000</v>
      </c>
      <c r="T64" s="262"/>
      <c r="U64" s="262"/>
      <c r="V64" s="261"/>
      <c r="W64" s="262"/>
      <c r="X64" s="6"/>
    </row>
    <row r="65" spans="1:24" ht="15.75" customHeight="1">
      <c r="A65" s="253"/>
      <c r="B65" s="88"/>
      <c r="C65" s="88"/>
      <c r="D65" s="88" t="s">
        <v>636</v>
      </c>
      <c r="E65" s="88"/>
      <c r="F65" s="88"/>
      <c r="G65" s="88"/>
      <c r="H65" s="88"/>
      <c r="I65" s="88" t="s">
        <v>637</v>
      </c>
      <c r="J65" s="88"/>
      <c r="K65" s="88"/>
      <c r="L65" s="88"/>
      <c r="M65" s="254"/>
      <c r="N65" s="260"/>
      <c r="O65" s="262"/>
      <c r="P65" s="261"/>
      <c r="Q65" s="262">
        <v>1000</v>
      </c>
      <c r="R65" s="261"/>
      <c r="S65" s="262">
        <v>1000</v>
      </c>
      <c r="T65" s="262"/>
      <c r="U65" s="262"/>
      <c r="V65" s="261"/>
      <c r="W65" s="262"/>
      <c r="X65" s="6"/>
    </row>
    <row r="66" spans="1:24" ht="15.75" customHeight="1">
      <c r="A66" s="253"/>
      <c r="B66" s="88"/>
      <c r="C66" s="88" t="s">
        <v>638</v>
      </c>
      <c r="D66" s="88"/>
      <c r="E66" s="88"/>
      <c r="F66" s="88"/>
      <c r="G66" s="88" t="s">
        <v>639</v>
      </c>
      <c r="H66" s="88"/>
      <c r="I66" s="88"/>
      <c r="J66" s="88"/>
      <c r="K66" s="88"/>
      <c r="L66" s="88"/>
      <c r="M66" s="254"/>
      <c r="N66" s="260"/>
      <c r="O66" s="262"/>
      <c r="P66" s="261"/>
      <c r="Q66" s="262">
        <v>8000</v>
      </c>
      <c r="R66" s="261"/>
      <c r="S66" s="262">
        <v>8000</v>
      </c>
      <c r="T66" s="262"/>
      <c r="U66" s="262"/>
      <c r="V66" s="261"/>
      <c r="W66" s="262"/>
      <c r="X66" s="6"/>
    </row>
    <row r="67" spans="1:24" ht="15.75" customHeight="1">
      <c r="A67" s="253"/>
      <c r="B67" s="88"/>
      <c r="C67" s="88"/>
      <c r="D67" s="88" t="s">
        <v>640</v>
      </c>
      <c r="E67" s="88"/>
      <c r="F67" s="88"/>
      <c r="G67" s="88"/>
      <c r="H67" s="88"/>
      <c r="I67" s="88" t="s">
        <v>641</v>
      </c>
      <c r="J67" s="88"/>
      <c r="K67" s="88"/>
      <c r="L67" s="88"/>
      <c r="M67" s="254"/>
      <c r="N67" s="260"/>
      <c r="O67" s="262"/>
      <c r="P67" s="261"/>
      <c r="Q67" s="262">
        <v>8000</v>
      </c>
      <c r="R67" s="261"/>
      <c r="S67" s="262">
        <v>8000</v>
      </c>
      <c r="T67" s="262"/>
      <c r="U67" s="262"/>
      <c r="V67" s="261"/>
      <c r="W67" s="262"/>
      <c r="X67" s="6"/>
    </row>
    <row r="68" spans="1:24" ht="15.75" customHeight="1">
      <c r="A68" s="253"/>
      <c r="B68" s="88"/>
      <c r="C68" s="88" t="s">
        <v>642</v>
      </c>
      <c r="D68" s="88"/>
      <c r="E68" s="88"/>
      <c r="F68" s="88"/>
      <c r="G68" s="88" t="s">
        <v>643</v>
      </c>
      <c r="H68" s="88"/>
      <c r="I68" s="88"/>
      <c r="J68" s="88"/>
      <c r="K68" s="88"/>
      <c r="L68" s="88"/>
      <c r="M68" s="254"/>
      <c r="N68" s="260"/>
      <c r="O68" s="261"/>
      <c r="P68" s="261"/>
      <c r="Q68" s="262">
        <v>1440</v>
      </c>
      <c r="R68" s="261"/>
      <c r="S68" s="262">
        <v>1440</v>
      </c>
      <c r="T68" s="262"/>
      <c r="U68" s="262"/>
      <c r="V68" s="261"/>
      <c r="W68" s="261"/>
      <c r="X68" s="6"/>
    </row>
    <row r="69" spans="1:24" ht="15.75" customHeight="1">
      <c r="A69" s="253"/>
      <c r="B69" s="88"/>
      <c r="C69" s="88"/>
      <c r="D69" s="88" t="s">
        <v>644</v>
      </c>
      <c r="E69" s="88"/>
      <c r="F69" s="88"/>
      <c r="G69" s="88"/>
      <c r="H69" s="88"/>
      <c r="I69" s="88" t="s">
        <v>645</v>
      </c>
      <c r="J69" s="88"/>
      <c r="K69" s="88"/>
      <c r="L69" s="88"/>
      <c r="M69" s="254"/>
      <c r="N69" s="260"/>
      <c r="O69" s="261"/>
      <c r="P69" s="261"/>
      <c r="Q69" s="262">
        <v>1440</v>
      </c>
      <c r="R69" s="261"/>
      <c r="S69" s="262">
        <v>1440</v>
      </c>
      <c r="T69" s="262"/>
      <c r="U69" s="262"/>
      <c r="V69" s="261"/>
      <c r="W69" s="261"/>
      <c r="X69" s="6"/>
    </row>
    <row r="70" spans="1:24" ht="15.75" customHeight="1">
      <c r="A70" s="253"/>
      <c r="B70" s="88" t="s">
        <v>646</v>
      </c>
      <c r="C70" s="88"/>
      <c r="D70" s="88"/>
      <c r="E70" s="88"/>
      <c r="F70" s="88" t="s">
        <v>203</v>
      </c>
      <c r="G70" s="88"/>
      <c r="H70" s="88"/>
      <c r="I70" s="88"/>
      <c r="J70" s="88"/>
      <c r="K70" s="88"/>
      <c r="L70" s="88"/>
      <c r="M70" s="254"/>
      <c r="N70" s="260"/>
      <c r="O70" s="261">
        <v>46000</v>
      </c>
      <c r="P70" s="261"/>
      <c r="Q70" s="262">
        <v>320</v>
      </c>
      <c r="R70" s="261"/>
      <c r="S70" s="262">
        <v>-45680</v>
      </c>
      <c r="T70" s="262"/>
      <c r="U70" s="262"/>
      <c r="V70" s="261"/>
      <c r="W70" s="261" t="s">
        <v>647</v>
      </c>
      <c r="X70" s="6"/>
    </row>
    <row r="71" spans="1:24" ht="15.75" customHeight="1">
      <c r="A71" s="253"/>
      <c r="B71" s="88"/>
      <c r="C71" s="88" t="s">
        <v>648</v>
      </c>
      <c r="D71" s="88"/>
      <c r="E71" s="88"/>
      <c r="F71" s="88"/>
      <c r="G71" s="88" t="s">
        <v>649</v>
      </c>
      <c r="H71" s="88"/>
      <c r="I71" s="88"/>
      <c r="J71" s="88"/>
      <c r="K71" s="88"/>
      <c r="L71" s="88"/>
      <c r="M71" s="254"/>
      <c r="N71" s="260"/>
      <c r="O71" s="261"/>
      <c r="P71" s="261"/>
      <c r="Q71" s="262">
        <v>320</v>
      </c>
      <c r="R71" s="261"/>
      <c r="S71" s="262">
        <v>320</v>
      </c>
      <c r="T71" s="262"/>
      <c r="U71" s="262"/>
      <c r="V71" s="261"/>
      <c r="W71" s="261"/>
      <c r="X71" s="6"/>
    </row>
    <row r="72" spans="1:24" ht="15.75" customHeight="1">
      <c r="A72" s="253"/>
      <c r="B72" s="88"/>
      <c r="C72" s="88"/>
      <c r="D72" s="88" t="s">
        <v>650</v>
      </c>
      <c r="E72" s="88"/>
      <c r="F72" s="88"/>
      <c r="G72" s="88"/>
      <c r="H72" s="88"/>
      <c r="I72" s="88" t="s">
        <v>203</v>
      </c>
      <c r="J72" s="88"/>
      <c r="K72" s="88"/>
      <c r="L72" s="88"/>
      <c r="M72" s="254"/>
      <c r="N72" s="260"/>
      <c r="O72" s="261"/>
      <c r="P72" s="261"/>
      <c r="Q72" s="262">
        <v>320</v>
      </c>
      <c r="R72" s="261"/>
      <c r="S72" s="262">
        <v>320</v>
      </c>
      <c r="T72" s="262"/>
      <c r="U72" s="262"/>
      <c r="V72" s="261"/>
      <c r="W72" s="261"/>
      <c r="X72" s="6"/>
    </row>
    <row r="73" spans="1:24" ht="15.75" customHeight="1">
      <c r="A73" s="253"/>
      <c r="B73" s="88"/>
      <c r="C73" s="88"/>
      <c r="D73" s="88" t="s">
        <v>651</v>
      </c>
      <c r="E73" s="88"/>
      <c r="F73" s="88"/>
      <c r="G73" s="88"/>
      <c r="H73" s="88"/>
      <c r="I73" s="88"/>
      <c r="J73" s="88"/>
      <c r="K73" s="88"/>
      <c r="L73" s="88"/>
      <c r="M73" s="254"/>
      <c r="N73" s="260"/>
      <c r="O73" s="261">
        <v>36079000</v>
      </c>
      <c r="P73" s="261"/>
      <c r="Q73" s="262">
        <v>29292148</v>
      </c>
      <c r="R73" s="261"/>
      <c r="S73" s="262">
        <v>-6786852</v>
      </c>
      <c r="T73" s="262"/>
      <c r="U73" s="262"/>
      <c r="V73" s="261"/>
      <c r="W73" s="261" t="s">
        <v>653</v>
      </c>
      <c r="X73" s="6"/>
    </row>
    <row r="74" spans="1:24" ht="15.75" customHeight="1">
      <c r="A74" s="253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254"/>
      <c r="N74" s="260"/>
      <c r="O74" s="261"/>
      <c r="P74" s="261"/>
      <c r="Q74" s="262"/>
      <c r="R74" s="261"/>
      <c r="S74" s="262"/>
      <c r="T74" s="262"/>
      <c r="U74" s="262"/>
      <c r="V74" s="261"/>
      <c r="W74" s="261"/>
      <c r="X74" s="6"/>
    </row>
    <row r="75" spans="1:24" ht="15.75" customHeight="1">
      <c r="A75" s="253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4"/>
      <c r="N75" s="260"/>
      <c r="O75" s="261"/>
      <c r="P75" s="261"/>
      <c r="Q75" s="262"/>
      <c r="R75" s="261"/>
      <c r="S75" s="262"/>
      <c r="T75" s="262"/>
      <c r="U75" s="262"/>
      <c r="V75" s="261"/>
      <c r="W75" s="261"/>
      <c r="X75" s="6"/>
    </row>
    <row r="76" spans="1:24" ht="15.75" customHeight="1">
      <c r="A76" s="253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4"/>
      <c r="N76" s="260"/>
      <c r="O76" s="261"/>
      <c r="P76" s="261"/>
      <c r="Q76" s="262"/>
      <c r="R76" s="261"/>
      <c r="S76" s="262"/>
      <c r="T76" s="262"/>
      <c r="U76" s="262"/>
      <c r="V76" s="261"/>
      <c r="W76" s="261"/>
      <c r="X76" s="6"/>
    </row>
    <row r="77" spans="1:24" ht="15.75" customHeight="1">
      <c r="A77" s="253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4"/>
      <c r="N77" s="260"/>
      <c r="O77" s="261"/>
      <c r="P77" s="261"/>
      <c r="Q77" s="262"/>
      <c r="R77" s="261"/>
      <c r="S77" s="262"/>
      <c r="T77" s="262"/>
      <c r="U77" s="262"/>
      <c r="V77" s="261"/>
      <c r="W77" s="261"/>
      <c r="X77" s="6"/>
    </row>
    <row r="78" spans="1:24" ht="15.75" customHeight="1">
      <c r="A78" s="253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4"/>
      <c r="N78" s="260"/>
      <c r="O78" s="261"/>
      <c r="P78" s="261"/>
      <c r="Q78" s="262"/>
      <c r="R78" s="261"/>
      <c r="S78" s="262"/>
      <c r="T78" s="262"/>
      <c r="U78" s="262"/>
      <c r="V78" s="261"/>
      <c r="W78" s="261"/>
      <c r="X78" s="6"/>
    </row>
    <row r="79" spans="1:24" ht="15.75" customHeight="1">
      <c r="A79" s="253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4"/>
      <c r="N79" s="260"/>
      <c r="O79" s="261"/>
      <c r="P79" s="261"/>
      <c r="Q79" s="262"/>
      <c r="R79" s="261"/>
      <c r="S79" s="262"/>
      <c r="T79" s="262"/>
      <c r="U79" s="262"/>
      <c r="V79" s="261"/>
      <c r="W79" s="261"/>
      <c r="X79" s="6"/>
    </row>
    <row r="80" spans="1:24" ht="15.75" customHeight="1">
      <c r="A80" s="253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4"/>
      <c r="N80" s="260"/>
      <c r="O80" s="261"/>
      <c r="P80" s="261"/>
      <c r="Q80" s="262"/>
      <c r="R80" s="261"/>
      <c r="S80" s="262"/>
      <c r="T80" s="262"/>
      <c r="U80" s="262"/>
      <c r="V80" s="261"/>
      <c r="W80" s="261"/>
      <c r="X80" s="6"/>
    </row>
    <row r="81" spans="1:24" ht="15.75" customHeight="1">
      <c r="A81" s="253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4"/>
      <c r="N81" s="260"/>
      <c r="O81" s="261"/>
      <c r="P81" s="261"/>
      <c r="Q81" s="262"/>
      <c r="R81" s="261"/>
      <c r="S81" s="262"/>
      <c r="T81" s="262"/>
      <c r="U81" s="262"/>
      <c r="V81" s="261"/>
      <c r="W81" s="261"/>
      <c r="X81" s="6"/>
    </row>
    <row r="82" spans="1:24" ht="15.75" customHeight="1">
      <c r="A82" s="253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4"/>
      <c r="N82" s="260"/>
      <c r="O82" s="261"/>
      <c r="P82" s="261"/>
      <c r="Q82" s="262"/>
      <c r="R82" s="261"/>
      <c r="S82" s="262"/>
      <c r="T82" s="262"/>
      <c r="U82" s="262"/>
      <c r="V82" s="261"/>
      <c r="W82" s="261"/>
      <c r="X82" s="6"/>
    </row>
    <row r="83" spans="1:24" ht="15.75" customHeight="1">
      <c r="A83" s="253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4"/>
      <c r="N83" s="260"/>
      <c r="O83" s="262"/>
      <c r="P83" s="261"/>
      <c r="Q83" s="262"/>
      <c r="R83" s="261"/>
      <c r="S83" s="262"/>
      <c r="T83" s="262"/>
      <c r="U83" s="262"/>
      <c r="V83" s="261"/>
      <c r="W83" s="262"/>
      <c r="X83" s="6"/>
    </row>
    <row r="84" spans="1:24" ht="15.75" customHeight="1">
      <c r="A84" s="253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4"/>
      <c r="N84" s="260"/>
      <c r="O84" s="261"/>
      <c r="P84" s="261"/>
      <c r="Q84" s="262"/>
      <c r="R84" s="261"/>
      <c r="S84" s="262"/>
      <c r="T84" s="262"/>
      <c r="U84" s="262"/>
      <c r="V84" s="261"/>
      <c r="W84" s="261"/>
      <c r="X84" s="6"/>
    </row>
    <row r="85" spans="1:24" ht="15.75" customHeight="1">
      <c r="A85" s="253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4"/>
      <c r="N85" s="260"/>
      <c r="O85" s="261"/>
      <c r="P85" s="261"/>
      <c r="Q85" s="262"/>
      <c r="R85" s="261"/>
      <c r="S85" s="262"/>
      <c r="T85" s="262"/>
      <c r="U85" s="262"/>
      <c r="V85" s="261"/>
      <c r="W85" s="261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56"/>
      <c r="N86" s="263"/>
      <c r="O86" s="265"/>
      <c r="P86" s="264"/>
      <c r="Q86" s="265"/>
      <c r="R86" s="264"/>
      <c r="S86" s="265"/>
      <c r="T86" s="265"/>
      <c r="U86" s="265"/>
      <c r="V86" s="264"/>
      <c r="W86" s="265"/>
      <c r="X86" s="6"/>
    </row>
    <row r="87" spans="1:24" ht="26.25" customHeight="1">
      <c r="B87" s="238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8"/>
      <c r="Q87" s="238"/>
      <c r="R87" s="238"/>
      <c r="S87" s="238"/>
      <c r="T87" s="238"/>
      <c r="U87" s="238"/>
      <c r="V87" s="238"/>
      <c r="W87" s="238"/>
    </row>
    <row r="88" spans="1:24" ht="30" customHeight="1">
      <c r="B88" s="238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</row>
    <row r="89" spans="1:24" ht="12.75" customHeight="1">
      <c r="B89" s="238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8"/>
      <c r="U89" s="238"/>
      <c r="V89" s="238"/>
      <c r="W89" s="238"/>
    </row>
    <row r="90" spans="1:24" ht="12.75" customHeight="1">
      <c r="B90" s="238"/>
      <c r="C90" s="238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</row>
    <row r="91" spans="1:24" ht="12.75" customHeight="1">
      <c r="B91" s="238"/>
      <c r="C91" s="238"/>
      <c r="D91" s="238"/>
      <c r="E91" s="238"/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8"/>
      <c r="U91" s="238"/>
      <c r="V91" s="238"/>
      <c r="W91" s="238"/>
    </row>
    <row r="92" spans="1:24" ht="12.75" customHeight="1">
      <c r="B92" s="238"/>
      <c r="C92" s="238"/>
      <c r="D92" s="238"/>
      <c r="E92" s="238"/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</row>
    <row r="93" spans="1:24" ht="12.75" customHeight="1">
      <c r="B93" s="238"/>
      <c r="C93" s="238"/>
      <c r="D93" s="238"/>
      <c r="E93" s="238"/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8"/>
      <c r="U93" s="238"/>
      <c r="V93" s="238"/>
      <c r="W93" s="238"/>
    </row>
    <row r="94" spans="1:24" ht="12.75" customHeight="1">
      <c r="B94" s="238"/>
      <c r="C94" s="238"/>
      <c r="D94" s="238"/>
      <c r="E94" s="238"/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</row>
    <row r="95" spans="1:24" ht="12.75" customHeight="1">
      <c r="B95" s="238"/>
      <c r="C95" s="238"/>
      <c r="D95" s="238"/>
      <c r="E95" s="238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</row>
    <row r="96" spans="1:24" ht="12.75" customHeight="1">
      <c r="B96" s="238"/>
      <c r="C96" s="23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</row>
    <row r="97" spans="2:23" ht="12.75" customHeight="1">
      <c r="B97" s="238"/>
      <c r="C97" s="238"/>
      <c r="D97" s="238"/>
      <c r="E97" s="238"/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8"/>
      <c r="U97" s="238"/>
      <c r="V97" s="238"/>
      <c r="W97" s="238"/>
    </row>
    <row r="98" spans="2:23" ht="12.75" customHeight="1">
      <c r="B98" s="238"/>
      <c r="C98" s="238"/>
      <c r="D98" s="238"/>
      <c r="E98" s="238"/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</row>
    <row r="99" spans="2:23" ht="12.75" customHeight="1">
      <c r="B99" s="238"/>
      <c r="C99" s="238"/>
      <c r="D99" s="238"/>
      <c r="E99" s="238"/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8"/>
      <c r="U99" s="238"/>
      <c r="V99" s="238"/>
      <c r="W99" s="238"/>
    </row>
    <row r="100" spans="2:23" ht="12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</row>
    <row r="101" spans="2:23" ht="12.75" customHeight="1">
      <c r="B101" s="238"/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8"/>
      <c r="O101" s="238"/>
      <c r="P101" s="238"/>
      <c r="Q101" s="238"/>
      <c r="R101" s="238"/>
      <c r="S101" s="238"/>
      <c r="T101" s="238"/>
      <c r="U101" s="238"/>
      <c r="V101" s="238"/>
      <c r="W101" s="238"/>
    </row>
    <row r="102" spans="2:23" ht="12.75" customHeight="1">
      <c r="B102" s="238"/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</row>
    <row r="103" spans="2:23" ht="12.75" customHeight="1">
      <c r="B103" s="238"/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  <c r="M103" s="238"/>
      <c r="N103" s="238"/>
      <c r="O103" s="238"/>
      <c r="P103" s="238"/>
      <c r="Q103" s="238"/>
      <c r="R103" s="238"/>
      <c r="S103" s="238"/>
      <c r="T103" s="238"/>
      <c r="U103" s="238"/>
      <c r="V103" s="238"/>
      <c r="W103" s="238"/>
    </row>
    <row r="104" spans="2:23" ht="12.75" customHeight="1">
      <c r="B104" s="238"/>
      <c r="C104" s="238"/>
      <c r="D104" s="238"/>
      <c r="E104" s="238"/>
      <c r="F104" s="238"/>
      <c r="G104" s="238"/>
      <c r="H104" s="238"/>
      <c r="I104" s="238"/>
      <c r="J104" s="238"/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</row>
    <row r="105" spans="2:23" ht="12.75" customHeight="1">
      <c r="B105" s="238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8"/>
      <c r="U105" s="238"/>
      <c r="V105" s="238"/>
      <c r="W105" s="238"/>
    </row>
    <row r="106" spans="2:23" ht="12.75" customHeight="1"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</row>
    <row r="107" spans="2:23" ht="12.75" customHeight="1">
      <c r="B107" s="238"/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  <c r="M107" s="238"/>
      <c r="N107" s="238"/>
      <c r="O107" s="238"/>
      <c r="P107" s="238"/>
      <c r="Q107" s="238"/>
      <c r="R107" s="238"/>
      <c r="S107" s="238"/>
      <c r="T107" s="238"/>
      <c r="U107" s="238"/>
      <c r="V107" s="238"/>
      <c r="W107" s="238"/>
    </row>
    <row r="108" spans="2:23" ht="12.75" customHeight="1"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</row>
    <row r="109" spans="2:23" ht="12.75" customHeight="1">
      <c r="B109" s="238"/>
      <c r="C109" s="238"/>
      <c r="D109" s="238"/>
      <c r="E109" s="238"/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238"/>
      <c r="Q109" s="238"/>
      <c r="R109" s="238"/>
      <c r="S109" s="238"/>
      <c r="T109" s="238"/>
      <c r="U109" s="238"/>
      <c r="V109" s="238"/>
      <c r="W109" s="238"/>
    </row>
    <row r="110" spans="2:23" ht="12.75" customHeight="1">
      <c r="B110" s="238"/>
      <c r="C110" s="238"/>
      <c r="D110" s="238"/>
      <c r="E110" s="238"/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</row>
    <row r="111" spans="2:23" ht="12.75" customHeight="1">
      <c r="B111" s="238"/>
      <c r="C111" s="238"/>
      <c r="D111" s="238"/>
      <c r="E111" s="238"/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238"/>
      <c r="Q111" s="238"/>
      <c r="R111" s="238"/>
      <c r="S111" s="238"/>
      <c r="T111" s="238"/>
      <c r="U111" s="238"/>
      <c r="V111" s="238"/>
      <c r="W111" s="238"/>
    </row>
    <row r="112" spans="2:23" ht="12.75" customHeight="1">
      <c r="B112" s="238"/>
      <c r="C112" s="238"/>
      <c r="D112" s="238"/>
      <c r="E112" s="238"/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</row>
    <row r="113" spans="2:23" ht="12.75" customHeight="1">
      <c r="B113" s="238"/>
      <c r="C113" s="238"/>
      <c r="D113" s="238"/>
      <c r="E113" s="238"/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8"/>
      <c r="U113" s="238"/>
      <c r="V113" s="238"/>
      <c r="W113" s="238"/>
    </row>
    <row r="114" spans="2:23" ht="12.75" customHeight="1">
      <c r="B114" s="238"/>
      <c r="C114" s="238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</row>
    <row r="115" spans="2:23" ht="12.75" customHeight="1"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  <c r="O115" s="238"/>
      <c r="P115" s="238"/>
      <c r="Q115" s="238"/>
      <c r="R115" s="238"/>
      <c r="S115" s="238"/>
      <c r="T115" s="238"/>
      <c r="U115" s="238"/>
      <c r="V115" s="238"/>
      <c r="W115" s="238"/>
    </row>
    <row r="116" spans="2:23" ht="12.75" customHeight="1"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8"/>
      <c r="U116" s="238"/>
      <c r="V116" s="238"/>
      <c r="W116" s="238"/>
    </row>
    <row r="117" spans="2:23" ht="12.75" customHeight="1"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8"/>
      <c r="U117" s="238"/>
      <c r="V117" s="238"/>
      <c r="W117" s="238"/>
    </row>
    <row r="118" spans="2:23" ht="12.75" customHeight="1"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8"/>
      <c r="U118" s="238"/>
      <c r="V118" s="238"/>
      <c r="W118" s="238"/>
    </row>
    <row r="119" spans="2:23" ht="12.75" customHeight="1">
      <c r="B119" s="238"/>
      <c r="C119" s="238"/>
      <c r="D119" s="238"/>
      <c r="E119" s="238"/>
      <c r="F119" s="238"/>
      <c r="G119" s="238"/>
      <c r="H119" s="238"/>
      <c r="I119" s="238"/>
      <c r="J119" s="238"/>
      <c r="K119" s="238"/>
      <c r="L119" s="238"/>
      <c r="M119" s="238"/>
      <c r="N119" s="238"/>
      <c r="O119" s="238"/>
      <c r="P119" s="238"/>
      <c r="Q119" s="238"/>
      <c r="R119" s="238"/>
      <c r="S119" s="238"/>
      <c r="T119" s="238"/>
      <c r="U119" s="238"/>
      <c r="V119" s="238"/>
      <c r="W119" s="238"/>
    </row>
    <row r="120" spans="2:23" ht="12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  <c r="M120" s="238"/>
      <c r="N120" s="238"/>
      <c r="O120" s="238"/>
      <c r="P120" s="238"/>
      <c r="Q120" s="238"/>
      <c r="R120" s="238"/>
      <c r="S120" s="238"/>
      <c r="T120" s="238"/>
      <c r="U120" s="238"/>
      <c r="V120" s="238"/>
      <c r="W120" s="238"/>
    </row>
    <row r="121" spans="2:23" ht="12.75" customHeight="1">
      <c r="B121" s="238"/>
      <c r="C121" s="238"/>
      <c r="D121" s="238"/>
      <c r="E121" s="238"/>
      <c r="F121" s="238"/>
      <c r="G121" s="238"/>
      <c r="H121" s="238"/>
      <c r="I121" s="238"/>
      <c r="J121" s="238"/>
      <c r="K121" s="238"/>
      <c r="L121" s="238"/>
      <c r="M121" s="238"/>
      <c r="N121" s="238"/>
      <c r="O121" s="238"/>
      <c r="P121" s="238"/>
      <c r="Q121" s="238"/>
      <c r="R121" s="238"/>
      <c r="S121" s="238"/>
      <c r="T121" s="238"/>
      <c r="U121" s="238"/>
      <c r="V121" s="238"/>
      <c r="W121" s="238"/>
    </row>
    <row r="122" spans="2:23" ht="12.75" customHeight="1">
      <c r="B122" s="238"/>
      <c r="C122" s="238"/>
      <c r="D122" s="238"/>
      <c r="E122" s="238"/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8"/>
      <c r="U122" s="238"/>
      <c r="V122" s="238"/>
      <c r="W122" s="238"/>
    </row>
    <row r="123" spans="2:23" ht="12.75" customHeight="1">
      <c r="B123" s="238"/>
      <c r="C123" s="238"/>
      <c r="D123" s="238"/>
      <c r="E123" s="238"/>
      <c r="F123" s="238"/>
      <c r="G123" s="238"/>
      <c r="H123" s="238"/>
      <c r="I123" s="238"/>
      <c r="J123" s="238"/>
      <c r="K123" s="238"/>
      <c r="L123" s="238"/>
      <c r="M123" s="238"/>
      <c r="N123" s="238"/>
      <c r="O123" s="238"/>
      <c r="P123" s="238"/>
      <c r="Q123" s="238"/>
      <c r="R123" s="238"/>
      <c r="S123" s="238"/>
      <c r="T123" s="238"/>
      <c r="U123" s="238"/>
      <c r="V123" s="238"/>
      <c r="W123" s="238"/>
    </row>
    <row r="124" spans="2:23" ht="12.75" customHeight="1">
      <c r="B124" s="238"/>
      <c r="C124" s="238"/>
      <c r="D124" s="238"/>
      <c r="E124" s="238"/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</row>
    <row r="125" spans="2:23" ht="12.75" customHeight="1">
      <c r="B125" s="238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8"/>
      <c r="U125" s="238"/>
      <c r="V125" s="238"/>
      <c r="W125" s="238"/>
    </row>
    <row r="126" spans="2:23" ht="12.75" customHeight="1"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</row>
    <row r="127" spans="2:23" ht="12.75" customHeight="1">
      <c r="B127" s="238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8"/>
      <c r="U127" s="238"/>
      <c r="V127" s="238"/>
      <c r="W127" s="238"/>
    </row>
    <row r="128" spans="2:23" ht="12.75" customHeight="1"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</row>
    <row r="129" spans="2:23" ht="12.75" customHeight="1">
      <c r="B129" s="238"/>
      <c r="C129" s="238"/>
      <c r="D129" s="238"/>
      <c r="E129" s="238"/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8"/>
      <c r="U129" s="238"/>
      <c r="V129" s="238"/>
      <c r="W129" s="238"/>
    </row>
    <row r="130" spans="2:23" ht="12.75" customHeight="1"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</row>
    <row r="131" spans="2:23" ht="12.75" customHeight="1">
      <c r="B131" s="238"/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  <c r="M131" s="238"/>
      <c r="N131" s="238"/>
      <c r="O131" s="238"/>
      <c r="P131" s="238"/>
      <c r="Q131" s="238"/>
      <c r="R131" s="238"/>
      <c r="S131" s="238"/>
      <c r="T131" s="238"/>
      <c r="U131" s="238"/>
      <c r="V131" s="238"/>
      <c r="W131" s="238"/>
    </row>
    <row r="132" spans="2:23" ht="12.75" customHeight="1">
      <c r="B132" s="238"/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</row>
    <row r="133" spans="2:23" ht="12.75" customHeight="1">
      <c r="B133" s="238"/>
      <c r="C133" s="238"/>
      <c r="D133" s="238"/>
      <c r="E133" s="238"/>
      <c r="F133" s="238"/>
      <c r="G133" s="238"/>
      <c r="H133" s="238"/>
      <c r="I133" s="238"/>
      <c r="J133" s="238"/>
      <c r="K133" s="238"/>
      <c r="L133" s="238"/>
      <c r="M133" s="238"/>
      <c r="N133" s="238"/>
      <c r="O133" s="238"/>
      <c r="P133" s="238"/>
      <c r="Q133" s="238"/>
      <c r="R133" s="238"/>
      <c r="S133" s="238"/>
      <c r="T133" s="238"/>
      <c r="U133" s="238"/>
      <c r="V133" s="238"/>
      <c r="W133" s="238"/>
    </row>
    <row r="134" spans="2:23" ht="12.75" customHeight="1">
      <c r="B134" s="238"/>
      <c r="C134" s="238"/>
      <c r="D134" s="238"/>
      <c r="E134" s="238"/>
      <c r="F134" s="238"/>
      <c r="G134" s="238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</row>
    <row r="135" spans="2:23" ht="12.75" customHeight="1">
      <c r="B135" s="238"/>
      <c r="C135" s="238"/>
      <c r="D135" s="238"/>
      <c r="E135" s="238"/>
      <c r="F135" s="238"/>
      <c r="G135" s="238"/>
      <c r="H135" s="238"/>
      <c r="I135" s="238"/>
      <c r="J135" s="238"/>
      <c r="K135" s="238"/>
      <c r="L135" s="238"/>
      <c r="M135" s="238"/>
      <c r="N135" s="238"/>
      <c r="O135" s="238"/>
      <c r="P135" s="238"/>
      <c r="Q135" s="238"/>
      <c r="R135" s="238"/>
      <c r="S135" s="238"/>
      <c r="T135" s="238"/>
      <c r="U135" s="238"/>
      <c r="V135" s="238"/>
      <c r="W135" s="238"/>
    </row>
    <row r="136" spans="2:23" ht="12.75" customHeight="1">
      <c r="B136" s="238"/>
      <c r="C136" s="238"/>
      <c r="D136" s="238"/>
      <c r="E136" s="238"/>
      <c r="F136" s="238"/>
      <c r="G136" s="238"/>
      <c r="H136" s="238"/>
      <c r="I136" s="238"/>
      <c r="J136" s="238"/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</row>
    <row r="137" spans="2:23" ht="12.75" customHeight="1">
      <c r="B137" s="238"/>
      <c r="C137" s="238"/>
      <c r="D137" s="238"/>
      <c r="E137" s="238"/>
      <c r="F137" s="238"/>
      <c r="G137" s="238"/>
      <c r="H137" s="238"/>
      <c r="I137" s="238"/>
      <c r="J137" s="238"/>
      <c r="K137" s="238"/>
      <c r="L137" s="238"/>
      <c r="M137" s="238"/>
      <c r="N137" s="238"/>
      <c r="O137" s="238"/>
      <c r="P137" s="238"/>
      <c r="Q137" s="238"/>
      <c r="R137" s="238"/>
      <c r="S137" s="238"/>
      <c r="T137" s="238"/>
      <c r="U137" s="238"/>
      <c r="V137" s="238"/>
      <c r="W137" s="238"/>
    </row>
    <row r="138" spans="2:23" ht="12.75" customHeight="1">
      <c r="B138" s="238"/>
      <c r="C138" s="238"/>
      <c r="D138" s="238"/>
      <c r="E138" s="238"/>
      <c r="F138" s="238"/>
      <c r="G138" s="238"/>
      <c r="H138" s="238"/>
      <c r="I138" s="238"/>
      <c r="J138" s="238"/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</row>
    <row r="139" spans="2:23" ht="12.75" customHeight="1"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8"/>
      <c r="U139" s="238"/>
      <c r="V139" s="238"/>
      <c r="W139" s="238"/>
    </row>
    <row r="140" spans="2:23" ht="12.75" customHeight="1">
      <c r="B140" s="238"/>
      <c r="C140" s="238"/>
      <c r="D140" s="238"/>
      <c r="E140" s="238"/>
      <c r="F140" s="238"/>
      <c r="G140" s="238"/>
      <c r="H140" s="238"/>
      <c r="I140" s="238"/>
      <c r="J140" s="238"/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</row>
    <row r="141" spans="2:23" ht="12.75" customHeight="1">
      <c r="B141" s="238"/>
      <c r="C141" s="238"/>
      <c r="D141" s="238"/>
      <c r="E141" s="238"/>
      <c r="F141" s="238"/>
      <c r="G141" s="238"/>
      <c r="H141" s="238"/>
      <c r="I141" s="238"/>
      <c r="J141" s="238"/>
      <c r="K141" s="238"/>
      <c r="L141" s="238"/>
      <c r="M141" s="238"/>
      <c r="N141" s="238"/>
      <c r="O141" s="238"/>
      <c r="P141" s="238"/>
      <c r="Q141" s="238"/>
      <c r="R141" s="238"/>
      <c r="S141" s="238"/>
      <c r="T141" s="238"/>
      <c r="U141" s="238"/>
      <c r="V141" s="238"/>
      <c r="W141" s="238"/>
    </row>
    <row r="142" spans="2:23" ht="12.75" customHeight="1">
      <c r="B142" s="238"/>
      <c r="C142" s="238"/>
      <c r="D142" s="238"/>
      <c r="E142" s="238"/>
      <c r="F142" s="238"/>
      <c r="G142" s="238"/>
      <c r="H142" s="238"/>
      <c r="I142" s="238"/>
      <c r="J142" s="238"/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</row>
    <row r="143" spans="2:23" ht="12.75" customHeight="1"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  <c r="L143" s="238"/>
      <c r="M143" s="238"/>
      <c r="N143" s="238"/>
      <c r="O143" s="238"/>
      <c r="P143" s="238"/>
      <c r="Q143" s="238"/>
      <c r="R143" s="238"/>
      <c r="S143" s="238"/>
      <c r="T143" s="238"/>
      <c r="U143" s="238"/>
      <c r="V143" s="238"/>
      <c r="W143" s="238"/>
    </row>
    <row r="144" spans="2:23" ht="12.75" customHeight="1">
      <c r="B144" s="238"/>
      <c r="C144" s="238"/>
      <c r="D144" s="238"/>
      <c r="E144" s="238"/>
      <c r="F144" s="238"/>
      <c r="G144" s="238"/>
      <c r="H144" s="238"/>
      <c r="I144" s="238"/>
      <c r="J144" s="238"/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</row>
    <row r="145" spans="2:23" ht="12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  <c r="L145" s="238"/>
      <c r="M145" s="238"/>
      <c r="N145" s="238"/>
      <c r="O145" s="238"/>
      <c r="P145" s="238"/>
      <c r="Q145" s="238"/>
      <c r="R145" s="238"/>
      <c r="S145" s="238"/>
      <c r="T145" s="238"/>
      <c r="U145" s="238"/>
      <c r="V145" s="238"/>
      <c r="W145" s="238"/>
    </row>
    <row r="146" spans="2:23" ht="12.75" customHeight="1">
      <c r="B146" s="238"/>
      <c r="C146" s="238"/>
      <c r="D146" s="238"/>
      <c r="E146" s="238"/>
      <c r="F146" s="238"/>
      <c r="G146" s="238"/>
      <c r="H146" s="238"/>
      <c r="I146" s="238"/>
      <c r="J146" s="238"/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</row>
    <row r="147" spans="2:23" ht="12.75" customHeight="1">
      <c r="B147" s="238"/>
      <c r="C147" s="238"/>
      <c r="D147" s="238"/>
      <c r="E147" s="238"/>
      <c r="F147" s="238"/>
      <c r="G147" s="238"/>
      <c r="H147" s="238"/>
      <c r="I147" s="238"/>
      <c r="J147" s="238"/>
      <c r="K147" s="238"/>
      <c r="L147" s="238"/>
      <c r="M147" s="238"/>
      <c r="N147" s="238"/>
      <c r="O147" s="238"/>
      <c r="P147" s="238"/>
      <c r="Q147" s="238"/>
      <c r="R147" s="238"/>
      <c r="S147" s="238"/>
      <c r="T147" s="238"/>
      <c r="U147" s="238"/>
      <c r="V147" s="238"/>
      <c r="W147" s="238"/>
    </row>
    <row r="148" spans="2:23" ht="12.75" customHeight="1">
      <c r="B148" s="238"/>
      <c r="C148" s="238"/>
      <c r="D148" s="238"/>
      <c r="E148" s="238"/>
      <c r="F148" s="238"/>
      <c r="G148" s="238"/>
      <c r="H148" s="238"/>
      <c r="I148" s="238"/>
      <c r="J148" s="238"/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</row>
    <row r="149" spans="2:23" ht="12.75" customHeight="1">
      <c r="B149" s="238"/>
      <c r="C149" s="238"/>
      <c r="D149" s="238"/>
      <c r="E149" s="238"/>
      <c r="F149" s="238"/>
      <c r="G149" s="238"/>
      <c r="H149" s="238"/>
      <c r="I149" s="238"/>
      <c r="J149" s="238"/>
      <c r="K149" s="238"/>
      <c r="L149" s="238"/>
      <c r="M149" s="238"/>
      <c r="N149" s="238"/>
      <c r="O149" s="238"/>
      <c r="P149" s="238"/>
      <c r="Q149" s="238"/>
      <c r="R149" s="238"/>
      <c r="S149" s="238"/>
      <c r="T149" s="238"/>
      <c r="U149" s="238"/>
      <c r="V149" s="238"/>
      <c r="W149" s="238"/>
    </row>
    <row r="150" spans="2:23" ht="12.75" customHeight="1">
      <c r="B150" s="238"/>
      <c r="C150" s="238"/>
      <c r="D150" s="238"/>
      <c r="E150" s="238"/>
      <c r="F150" s="238"/>
      <c r="G150" s="238"/>
      <c r="H150" s="238"/>
      <c r="I150" s="238"/>
      <c r="J150" s="238"/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</row>
    <row r="151" spans="2:23" ht="12.75" customHeight="1">
      <c r="B151" s="238"/>
      <c r="C151" s="238"/>
      <c r="D151" s="238"/>
      <c r="E151" s="238"/>
      <c r="F151" s="238"/>
      <c r="G151" s="238"/>
      <c r="H151" s="238"/>
      <c r="I151" s="238"/>
      <c r="J151" s="238"/>
      <c r="K151" s="238"/>
      <c r="L151" s="238"/>
      <c r="M151" s="238"/>
      <c r="N151" s="238"/>
      <c r="O151" s="238"/>
      <c r="P151" s="238"/>
      <c r="Q151" s="238"/>
      <c r="R151" s="238"/>
      <c r="S151" s="238"/>
      <c r="T151" s="238"/>
      <c r="U151" s="238"/>
      <c r="V151" s="238"/>
      <c r="W151" s="238"/>
    </row>
    <row r="152" spans="2:23" ht="12.75" customHeight="1">
      <c r="B152" s="238"/>
      <c r="C152" s="238"/>
      <c r="D152" s="238"/>
      <c r="E152" s="238"/>
      <c r="F152" s="238"/>
      <c r="G152" s="238"/>
      <c r="H152" s="238"/>
      <c r="I152" s="238"/>
      <c r="J152" s="238"/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</row>
    <row r="153" spans="2:23" ht="12.75" customHeight="1">
      <c r="B153" s="238"/>
      <c r="C153" s="238"/>
      <c r="D153" s="238"/>
      <c r="E153" s="238"/>
      <c r="F153" s="238"/>
      <c r="G153" s="238"/>
      <c r="H153" s="238"/>
      <c r="I153" s="238"/>
      <c r="J153" s="238"/>
      <c r="K153" s="238"/>
      <c r="L153" s="238"/>
      <c r="M153" s="238"/>
      <c r="N153" s="238"/>
      <c r="O153" s="238"/>
      <c r="P153" s="238"/>
      <c r="Q153" s="238"/>
      <c r="R153" s="238"/>
      <c r="S153" s="238"/>
      <c r="T153" s="238"/>
      <c r="U153" s="238"/>
      <c r="V153" s="238"/>
      <c r="W153" s="238"/>
    </row>
    <row r="154" spans="2:23" ht="12.75" customHeight="1">
      <c r="B154" s="238"/>
      <c r="C154" s="238"/>
      <c r="D154" s="238"/>
      <c r="E154" s="238"/>
      <c r="F154" s="238"/>
      <c r="G154" s="238"/>
      <c r="H154" s="238"/>
      <c r="I154" s="238"/>
      <c r="J154" s="238"/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</row>
    <row r="155" spans="2:23" ht="12.75" customHeight="1">
      <c r="B155" s="238"/>
      <c r="C155" s="238"/>
      <c r="D155" s="238"/>
      <c r="E155" s="238"/>
      <c r="F155" s="238"/>
      <c r="G155" s="238"/>
      <c r="H155" s="238"/>
      <c r="I155" s="238"/>
      <c r="J155" s="238"/>
      <c r="K155" s="238"/>
      <c r="L155" s="238"/>
      <c r="M155" s="238"/>
      <c r="N155" s="238"/>
      <c r="O155" s="238"/>
      <c r="P155" s="238"/>
      <c r="Q155" s="238"/>
      <c r="R155" s="238"/>
      <c r="S155" s="238"/>
      <c r="T155" s="238"/>
      <c r="U155" s="238"/>
      <c r="V155" s="238"/>
      <c r="W155" s="238"/>
    </row>
    <row r="156" spans="2:23" ht="12.75" customHeight="1">
      <c r="B156" s="238"/>
      <c r="C156" s="238"/>
      <c r="D156" s="238"/>
      <c r="E156" s="238"/>
      <c r="F156" s="238"/>
      <c r="G156" s="238"/>
      <c r="H156" s="238"/>
      <c r="I156" s="238"/>
      <c r="J156" s="238"/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</row>
    <row r="157" spans="2:23" ht="12.75" customHeight="1">
      <c r="B157" s="238"/>
      <c r="C157" s="238"/>
      <c r="D157" s="238"/>
      <c r="E157" s="238"/>
      <c r="F157" s="238"/>
      <c r="G157" s="238"/>
      <c r="H157" s="238"/>
      <c r="I157" s="238"/>
      <c r="J157" s="238"/>
      <c r="K157" s="238"/>
      <c r="L157" s="238"/>
      <c r="M157" s="238"/>
      <c r="N157" s="238"/>
      <c r="O157" s="238"/>
      <c r="P157" s="238"/>
      <c r="Q157" s="238"/>
      <c r="R157" s="238"/>
      <c r="S157" s="238"/>
      <c r="T157" s="238"/>
      <c r="U157" s="238"/>
      <c r="V157" s="238"/>
      <c r="W157" s="238"/>
    </row>
    <row r="158" spans="2:23" ht="12.75" customHeight="1">
      <c r="B158" s="238"/>
      <c r="C158" s="238"/>
      <c r="D158" s="238"/>
      <c r="E158" s="238"/>
      <c r="F158" s="238"/>
      <c r="G158" s="238"/>
      <c r="H158" s="238"/>
      <c r="I158" s="238"/>
      <c r="J158" s="238"/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</row>
    <row r="159" spans="2:23" ht="12.75" customHeight="1">
      <c r="B159" s="238"/>
      <c r="C159" s="238"/>
      <c r="D159" s="238"/>
      <c r="E159" s="238"/>
      <c r="F159" s="238"/>
      <c r="G159" s="238"/>
      <c r="H159" s="238"/>
      <c r="I159" s="238"/>
      <c r="J159" s="238"/>
      <c r="K159" s="238"/>
      <c r="L159" s="238"/>
      <c r="M159" s="238"/>
      <c r="N159" s="238"/>
      <c r="O159" s="238"/>
      <c r="P159" s="238"/>
      <c r="Q159" s="238"/>
      <c r="R159" s="238"/>
      <c r="S159" s="238"/>
      <c r="T159" s="238"/>
      <c r="U159" s="238"/>
      <c r="V159" s="238"/>
      <c r="W159" s="238"/>
    </row>
    <row r="160" spans="2:23" ht="12.75" customHeight="1">
      <c r="B160" s="238"/>
      <c r="C160" s="238"/>
      <c r="D160" s="238"/>
      <c r="E160" s="238"/>
      <c r="F160" s="238"/>
      <c r="G160" s="238"/>
      <c r="H160" s="238"/>
      <c r="I160" s="238"/>
      <c r="J160" s="238"/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</row>
    <row r="161" spans="2:23" ht="12.75" customHeight="1">
      <c r="B161" s="238"/>
      <c r="C161" s="238"/>
      <c r="D161" s="238"/>
      <c r="E161" s="238"/>
      <c r="F161" s="238"/>
      <c r="G161" s="238"/>
      <c r="H161" s="238"/>
      <c r="I161" s="238"/>
      <c r="J161" s="238"/>
      <c r="K161" s="238"/>
      <c r="L161" s="238"/>
      <c r="M161" s="238"/>
      <c r="N161" s="238"/>
      <c r="O161" s="238"/>
      <c r="P161" s="238"/>
      <c r="Q161" s="238"/>
      <c r="R161" s="238"/>
      <c r="S161" s="238"/>
      <c r="T161" s="238"/>
      <c r="U161" s="238"/>
      <c r="V161" s="238"/>
      <c r="W161" s="238"/>
    </row>
    <row r="162" spans="2:23" ht="12.75" customHeight="1">
      <c r="B162" s="238"/>
      <c r="C162" s="238"/>
      <c r="D162" s="238"/>
      <c r="E162" s="238"/>
      <c r="F162" s="238"/>
      <c r="G162" s="238"/>
      <c r="H162" s="238"/>
      <c r="I162" s="238"/>
      <c r="J162" s="238"/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</row>
    <row r="163" spans="2:23" ht="12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  <c r="L163" s="238"/>
      <c r="M163" s="238"/>
      <c r="N163" s="238"/>
      <c r="O163" s="238"/>
      <c r="P163" s="238"/>
      <c r="Q163" s="238"/>
      <c r="R163" s="238"/>
      <c r="S163" s="238"/>
      <c r="T163" s="238"/>
      <c r="U163" s="238"/>
      <c r="V163" s="238"/>
      <c r="W163" s="238"/>
    </row>
    <row r="164" spans="2:23" ht="12.75" customHeight="1">
      <c r="B164" s="238"/>
      <c r="C164" s="238"/>
      <c r="D164" s="238"/>
      <c r="E164" s="238"/>
      <c r="F164" s="238"/>
      <c r="G164" s="238"/>
      <c r="H164" s="238"/>
      <c r="I164" s="238"/>
      <c r="J164" s="238"/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</row>
    <row r="165" spans="2:23" ht="12.75" customHeight="1">
      <c r="B165" s="238"/>
      <c r="C165" s="238"/>
      <c r="D165" s="238"/>
      <c r="E165" s="238"/>
      <c r="F165" s="238"/>
      <c r="G165" s="238"/>
      <c r="H165" s="238"/>
      <c r="I165" s="238"/>
      <c r="J165" s="238"/>
      <c r="K165" s="238"/>
      <c r="L165" s="238"/>
      <c r="M165" s="238"/>
      <c r="N165" s="238"/>
      <c r="O165" s="238"/>
      <c r="P165" s="238"/>
      <c r="Q165" s="238"/>
      <c r="R165" s="238"/>
      <c r="S165" s="238"/>
      <c r="T165" s="238"/>
      <c r="U165" s="238"/>
      <c r="V165" s="238"/>
      <c r="W165" s="238"/>
    </row>
    <row r="166" spans="2:23" ht="12.75" customHeight="1">
      <c r="B166" s="238"/>
      <c r="C166" s="238"/>
      <c r="D166" s="238"/>
      <c r="E166" s="238"/>
      <c r="F166" s="238"/>
      <c r="G166" s="238"/>
      <c r="H166" s="238"/>
      <c r="I166" s="238"/>
      <c r="J166" s="238"/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</row>
    <row r="167" spans="2:23" ht="12.75" customHeight="1">
      <c r="B167" s="238"/>
      <c r="C167" s="238"/>
      <c r="D167" s="238"/>
      <c r="E167" s="238"/>
      <c r="F167" s="238"/>
      <c r="G167" s="238"/>
      <c r="H167" s="238"/>
      <c r="I167" s="238"/>
      <c r="J167" s="238"/>
      <c r="K167" s="238"/>
      <c r="L167" s="238"/>
      <c r="M167" s="238"/>
      <c r="N167" s="238"/>
      <c r="O167" s="238"/>
      <c r="P167" s="238"/>
      <c r="Q167" s="238"/>
      <c r="R167" s="238"/>
      <c r="S167" s="238"/>
      <c r="T167" s="238"/>
      <c r="U167" s="238"/>
      <c r="V167" s="238"/>
      <c r="W167" s="238"/>
    </row>
    <row r="168" spans="2:23" ht="12.75" customHeight="1">
      <c r="B168" s="238"/>
      <c r="C168" s="238"/>
      <c r="D168" s="238"/>
      <c r="E168" s="238"/>
      <c r="F168" s="238"/>
      <c r="G168" s="238"/>
      <c r="H168" s="238"/>
      <c r="I168" s="238"/>
      <c r="J168" s="238"/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</row>
    <row r="169" spans="2:23" ht="12.75" customHeight="1">
      <c r="B169" s="238"/>
      <c r="C169" s="238"/>
      <c r="D169" s="238"/>
      <c r="E169" s="238"/>
      <c r="F169" s="238"/>
      <c r="G169" s="238"/>
      <c r="H169" s="238"/>
      <c r="I169" s="238"/>
      <c r="J169" s="238"/>
      <c r="K169" s="238"/>
      <c r="L169" s="238"/>
      <c r="M169" s="238"/>
      <c r="N169" s="238"/>
      <c r="O169" s="238"/>
      <c r="P169" s="238"/>
      <c r="Q169" s="238"/>
      <c r="R169" s="238"/>
      <c r="S169" s="238"/>
      <c r="T169" s="238"/>
      <c r="U169" s="238"/>
      <c r="V169" s="238"/>
      <c r="W169" s="238"/>
    </row>
    <row r="170" spans="2:23" ht="12.75" customHeight="1">
      <c r="B170" s="238"/>
      <c r="C170" s="238"/>
      <c r="D170" s="238"/>
      <c r="E170" s="238"/>
      <c r="F170" s="238"/>
      <c r="G170" s="238"/>
      <c r="H170" s="238"/>
      <c r="I170" s="238"/>
      <c r="J170" s="238"/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</row>
    <row r="171" spans="2:23" ht="12.75" customHeight="1">
      <c r="B171" s="238"/>
      <c r="C171" s="238"/>
      <c r="D171" s="238"/>
      <c r="E171" s="238"/>
      <c r="F171" s="238"/>
      <c r="G171" s="238"/>
      <c r="H171" s="238"/>
      <c r="I171" s="238"/>
      <c r="J171" s="238"/>
      <c r="K171" s="238"/>
      <c r="L171" s="238"/>
      <c r="M171" s="238"/>
      <c r="N171" s="238"/>
      <c r="O171" s="238"/>
      <c r="P171" s="238"/>
      <c r="Q171" s="238"/>
      <c r="R171" s="238"/>
      <c r="S171" s="238"/>
      <c r="T171" s="238"/>
      <c r="U171" s="238"/>
      <c r="V171" s="238"/>
      <c r="W171" s="238"/>
    </row>
    <row r="172" spans="2:23" ht="12.75" customHeight="1">
      <c r="B172" s="238"/>
      <c r="C172" s="238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</row>
    <row r="173" spans="2:23" ht="12.75" customHeight="1">
      <c r="B173" s="238"/>
      <c r="C173" s="238"/>
      <c r="D173" s="238"/>
      <c r="E173" s="238"/>
      <c r="F173" s="238"/>
      <c r="G173" s="238"/>
      <c r="H173" s="238"/>
      <c r="I173" s="238"/>
      <c r="J173" s="238"/>
      <c r="K173" s="238"/>
      <c r="L173" s="238"/>
      <c r="M173" s="238"/>
      <c r="N173" s="238"/>
      <c r="O173" s="238"/>
      <c r="P173" s="238"/>
      <c r="Q173" s="238"/>
      <c r="R173" s="238"/>
      <c r="S173" s="238"/>
      <c r="T173" s="238"/>
      <c r="U173" s="238"/>
      <c r="V173" s="238"/>
      <c r="W173" s="238"/>
    </row>
    <row r="174" spans="2:23" ht="12.75" customHeight="1">
      <c r="B174" s="238"/>
      <c r="C174" s="238"/>
      <c r="D174" s="238"/>
      <c r="E174" s="238"/>
      <c r="F174" s="238"/>
      <c r="G174" s="238"/>
      <c r="H174" s="238"/>
      <c r="I174" s="238"/>
      <c r="J174" s="238"/>
      <c r="K174" s="238"/>
      <c r="L174" s="238"/>
      <c r="M174" s="238"/>
      <c r="N174" s="238"/>
      <c r="O174" s="238"/>
      <c r="P174" s="238"/>
      <c r="Q174" s="238"/>
      <c r="R174" s="238"/>
      <c r="S174" s="238"/>
      <c r="T174" s="238"/>
      <c r="U174" s="238"/>
      <c r="V174" s="238"/>
      <c r="W174" s="238"/>
    </row>
    <row r="175" spans="2:23" ht="12.75" customHeight="1">
      <c r="B175" s="238"/>
      <c r="C175" s="238"/>
      <c r="D175" s="238"/>
      <c r="E175" s="238"/>
      <c r="F175" s="238"/>
      <c r="G175" s="238"/>
      <c r="H175" s="238"/>
      <c r="I175" s="238"/>
      <c r="J175" s="238"/>
      <c r="K175" s="238"/>
      <c r="L175" s="238"/>
      <c r="M175" s="238"/>
      <c r="N175" s="238"/>
      <c r="O175" s="238"/>
      <c r="P175" s="238"/>
      <c r="Q175" s="238"/>
      <c r="R175" s="238"/>
      <c r="S175" s="238"/>
      <c r="T175" s="238"/>
      <c r="U175" s="238"/>
      <c r="V175" s="238"/>
      <c r="W175" s="238"/>
    </row>
    <row r="176" spans="2:23" ht="12.75" customHeight="1">
      <c r="B176" s="238"/>
      <c r="C176" s="238"/>
      <c r="D176" s="238"/>
      <c r="E176" s="238"/>
      <c r="F176" s="238"/>
      <c r="G176" s="238"/>
      <c r="H176" s="238"/>
      <c r="I176" s="238"/>
      <c r="J176" s="238"/>
      <c r="K176" s="238"/>
      <c r="L176" s="238"/>
      <c r="M176" s="238"/>
      <c r="N176" s="238"/>
      <c r="O176" s="238"/>
      <c r="P176" s="238"/>
      <c r="Q176" s="238"/>
      <c r="R176" s="238"/>
      <c r="S176" s="238"/>
      <c r="T176" s="238"/>
      <c r="U176" s="238"/>
      <c r="V176" s="238"/>
      <c r="W176" s="238"/>
    </row>
    <row r="177" spans="2:23" ht="12.75" customHeight="1">
      <c r="B177" s="238"/>
      <c r="C177" s="238"/>
      <c r="D177" s="238"/>
      <c r="E177" s="238"/>
      <c r="F177" s="238"/>
      <c r="G177" s="238"/>
      <c r="H177" s="238"/>
      <c r="I177" s="238"/>
      <c r="J177" s="238"/>
      <c r="K177" s="238"/>
      <c r="L177" s="238"/>
      <c r="M177" s="238"/>
      <c r="N177" s="238"/>
      <c r="O177" s="238"/>
      <c r="P177" s="238"/>
      <c r="Q177" s="238"/>
      <c r="R177" s="238"/>
      <c r="S177" s="238"/>
      <c r="T177" s="238"/>
      <c r="U177" s="238"/>
      <c r="V177" s="238"/>
      <c r="W177" s="238"/>
    </row>
    <row r="178" spans="2:23" ht="12.75" customHeight="1">
      <c r="B178" s="238"/>
      <c r="C178" s="238"/>
      <c r="D178" s="238"/>
      <c r="E178" s="238"/>
      <c r="F178" s="238"/>
      <c r="G178" s="238"/>
      <c r="H178" s="238"/>
      <c r="I178" s="238"/>
      <c r="J178" s="238"/>
      <c r="K178" s="238"/>
      <c r="L178" s="238"/>
      <c r="M178" s="238"/>
      <c r="N178" s="238"/>
      <c r="O178" s="238"/>
      <c r="P178" s="238"/>
      <c r="Q178" s="238"/>
      <c r="R178" s="238"/>
      <c r="S178" s="238"/>
      <c r="T178" s="238"/>
      <c r="U178" s="238"/>
      <c r="V178" s="238"/>
      <c r="W178" s="238"/>
    </row>
    <row r="179" spans="2:23" ht="12.75" customHeight="1">
      <c r="B179" s="238"/>
      <c r="C179" s="238"/>
      <c r="D179" s="238"/>
      <c r="E179" s="238"/>
      <c r="F179" s="238"/>
      <c r="G179" s="238"/>
      <c r="H179" s="238"/>
      <c r="I179" s="238"/>
      <c r="J179" s="238"/>
      <c r="K179" s="238"/>
      <c r="L179" s="238"/>
      <c r="M179" s="238"/>
      <c r="N179" s="238"/>
      <c r="O179" s="238"/>
      <c r="P179" s="238"/>
      <c r="Q179" s="238"/>
      <c r="R179" s="238"/>
      <c r="S179" s="238"/>
      <c r="T179" s="238"/>
      <c r="U179" s="238"/>
      <c r="V179" s="238"/>
      <c r="W179" s="238"/>
    </row>
    <row r="180" spans="2:23" ht="12.75" customHeight="1">
      <c r="B180" s="238"/>
      <c r="C180" s="238"/>
      <c r="D180" s="238"/>
      <c r="E180" s="238"/>
      <c r="F180" s="238"/>
      <c r="G180" s="238"/>
      <c r="H180" s="238"/>
      <c r="I180" s="238"/>
      <c r="J180" s="238"/>
      <c r="K180" s="238"/>
      <c r="L180" s="238"/>
      <c r="M180" s="238"/>
      <c r="N180" s="238"/>
      <c r="O180" s="238"/>
      <c r="P180" s="238"/>
      <c r="Q180" s="238"/>
      <c r="R180" s="238"/>
      <c r="S180" s="238"/>
      <c r="T180" s="238"/>
      <c r="U180" s="238"/>
      <c r="V180" s="238"/>
      <c r="W180" s="238"/>
    </row>
    <row r="181" spans="2:23" ht="12.75" customHeight="1">
      <c r="B181" s="238"/>
      <c r="C181" s="238"/>
      <c r="D181" s="238"/>
      <c r="E181" s="238"/>
      <c r="F181" s="238"/>
      <c r="G181" s="238"/>
      <c r="H181" s="238"/>
      <c r="I181" s="238"/>
      <c r="J181" s="238"/>
      <c r="K181" s="238"/>
      <c r="L181" s="238"/>
      <c r="M181" s="238"/>
      <c r="N181" s="238"/>
      <c r="O181" s="238"/>
      <c r="P181" s="238"/>
      <c r="Q181" s="238"/>
      <c r="R181" s="238"/>
      <c r="S181" s="238"/>
      <c r="T181" s="238"/>
      <c r="U181" s="238"/>
      <c r="V181" s="238"/>
      <c r="W181" s="238"/>
    </row>
    <row r="182" spans="2:23" ht="12.75" customHeight="1">
      <c r="B182" s="238"/>
      <c r="C182" s="238"/>
      <c r="D182" s="238"/>
      <c r="E182" s="238"/>
      <c r="F182" s="238"/>
      <c r="G182" s="238"/>
      <c r="H182" s="238"/>
      <c r="I182" s="238"/>
      <c r="J182" s="238"/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</row>
    <row r="183" spans="2:23" ht="12.75" customHeight="1">
      <c r="B183" s="238"/>
      <c r="C183" s="238"/>
      <c r="D183" s="238"/>
      <c r="E183" s="238"/>
      <c r="F183" s="238"/>
      <c r="G183" s="238"/>
      <c r="H183" s="238"/>
      <c r="I183" s="238"/>
      <c r="J183" s="238"/>
      <c r="K183" s="238"/>
      <c r="L183" s="238"/>
      <c r="M183" s="238"/>
      <c r="N183" s="238"/>
      <c r="O183" s="238"/>
      <c r="P183" s="238"/>
      <c r="Q183" s="238"/>
      <c r="R183" s="238"/>
      <c r="S183" s="238"/>
      <c r="T183" s="238"/>
      <c r="U183" s="238"/>
      <c r="V183" s="238"/>
      <c r="W183" s="238"/>
    </row>
    <row r="184" spans="2:23" ht="12.75" customHeight="1">
      <c r="B184" s="238"/>
      <c r="C184" s="238"/>
      <c r="D184" s="238"/>
      <c r="E184" s="238"/>
      <c r="F184" s="238"/>
      <c r="G184" s="238"/>
      <c r="H184" s="238"/>
      <c r="I184" s="238"/>
      <c r="J184" s="238"/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</row>
    <row r="185" spans="2:23" ht="12.75" customHeight="1">
      <c r="B185" s="238"/>
      <c r="C185" s="238"/>
      <c r="D185" s="238"/>
      <c r="E185" s="238"/>
      <c r="F185" s="238"/>
      <c r="G185" s="238"/>
      <c r="H185" s="238"/>
      <c r="I185" s="238"/>
      <c r="J185" s="238"/>
      <c r="K185" s="238"/>
      <c r="L185" s="238"/>
      <c r="M185" s="238"/>
      <c r="N185" s="238"/>
      <c r="O185" s="238"/>
      <c r="P185" s="238"/>
      <c r="Q185" s="238"/>
      <c r="R185" s="238"/>
      <c r="S185" s="238"/>
      <c r="T185" s="238"/>
      <c r="U185" s="238"/>
      <c r="V185" s="238"/>
      <c r="W185" s="238"/>
    </row>
    <row r="186" spans="2:23" ht="12.75" customHeight="1">
      <c r="B186" s="238"/>
      <c r="C186" s="238"/>
      <c r="D186" s="238"/>
      <c r="E186" s="238"/>
      <c r="F186" s="238"/>
      <c r="G186" s="238"/>
      <c r="H186" s="238"/>
      <c r="I186" s="238"/>
      <c r="J186" s="238"/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</row>
    <row r="187" spans="2:23" ht="12.75" customHeight="1">
      <c r="B187" s="238"/>
      <c r="C187" s="238"/>
      <c r="D187" s="238"/>
      <c r="E187" s="238"/>
      <c r="F187" s="238"/>
      <c r="G187" s="238"/>
      <c r="H187" s="238"/>
      <c r="I187" s="238"/>
      <c r="J187" s="238"/>
      <c r="K187" s="238"/>
      <c r="L187" s="238"/>
      <c r="M187" s="238"/>
      <c r="N187" s="238"/>
      <c r="O187" s="238"/>
      <c r="P187" s="238"/>
      <c r="Q187" s="238"/>
      <c r="R187" s="238"/>
      <c r="S187" s="238"/>
      <c r="T187" s="238"/>
      <c r="U187" s="238"/>
      <c r="V187" s="238"/>
      <c r="W187" s="238"/>
    </row>
    <row r="188" spans="2:23" ht="12.75" customHeight="1">
      <c r="B188" s="238"/>
      <c r="C188" s="238"/>
      <c r="D188" s="238"/>
      <c r="E188" s="238"/>
      <c r="F188" s="238"/>
      <c r="G188" s="238"/>
      <c r="H188" s="238"/>
      <c r="I188" s="238"/>
      <c r="J188" s="238"/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</row>
    <row r="189" spans="2:23" ht="12.75" customHeight="1">
      <c r="B189" s="238"/>
      <c r="C189" s="238"/>
      <c r="D189" s="238"/>
      <c r="E189" s="238"/>
      <c r="F189" s="238"/>
      <c r="G189" s="238"/>
      <c r="H189" s="238"/>
      <c r="I189" s="238"/>
      <c r="J189" s="238"/>
      <c r="K189" s="238"/>
      <c r="L189" s="238"/>
      <c r="M189" s="238"/>
      <c r="N189" s="238"/>
      <c r="O189" s="238"/>
      <c r="P189" s="238"/>
      <c r="Q189" s="238"/>
      <c r="R189" s="238"/>
      <c r="S189" s="238"/>
      <c r="T189" s="238"/>
      <c r="U189" s="238"/>
      <c r="V189" s="238"/>
      <c r="W189" s="238"/>
    </row>
    <row r="190" spans="2:23" ht="12.75" customHeight="1">
      <c r="B190" s="238"/>
      <c r="C190" s="238"/>
      <c r="D190" s="238"/>
      <c r="E190" s="238"/>
      <c r="F190" s="238"/>
      <c r="G190" s="238"/>
      <c r="H190" s="238"/>
      <c r="I190" s="238"/>
      <c r="J190" s="238"/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</row>
    <row r="191" spans="2:23" ht="12.75" customHeight="1">
      <c r="B191" s="238"/>
      <c r="C191" s="238"/>
      <c r="D191" s="238"/>
      <c r="E191" s="238"/>
      <c r="F191" s="238"/>
      <c r="G191" s="238"/>
      <c r="H191" s="238"/>
      <c r="I191" s="238"/>
      <c r="J191" s="238"/>
      <c r="K191" s="238"/>
      <c r="L191" s="238"/>
      <c r="M191" s="238"/>
      <c r="N191" s="238"/>
      <c r="O191" s="238"/>
      <c r="P191" s="238"/>
      <c r="Q191" s="238"/>
      <c r="R191" s="238"/>
      <c r="S191" s="238"/>
      <c r="T191" s="238"/>
      <c r="U191" s="238"/>
      <c r="V191" s="238"/>
      <c r="W191" s="238"/>
    </row>
    <row r="192" spans="2:23" ht="12.75" customHeight="1">
      <c r="B192" s="238"/>
      <c r="C192" s="238"/>
      <c r="D192" s="238"/>
      <c r="E192" s="238"/>
      <c r="F192" s="238"/>
      <c r="G192" s="238"/>
      <c r="H192" s="238"/>
      <c r="I192" s="238"/>
      <c r="J192" s="238"/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</row>
    <row r="193" spans="2:23" ht="12.75" customHeight="1">
      <c r="B193" s="238"/>
      <c r="C193" s="238"/>
      <c r="D193" s="238"/>
      <c r="E193" s="238"/>
      <c r="F193" s="238"/>
      <c r="G193" s="238"/>
      <c r="H193" s="238"/>
      <c r="I193" s="238"/>
      <c r="J193" s="238"/>
      <c r="K193" s="238"/>
      <c r="L193" s="238"/>
      <c r="M193" s="238"/>
      <c r="N193" s="238"/>
      <c r="O193" s="238"/>
      <c r="P193" s="238"/>
      <c r="Q193" s="238"/>
      <c r="R193" s="238"/>
      <c r="S193" s="238"/>
      <c r="T193" s="238"/>
      <c r="U193" s="238"/>
      <c r="V193" s="238"/>
      <c r="W193" s="238"/>
    </row>
    <row r="194" spans="2:23" ht="12.75" customHeight="1">
      <c r="B194" s="238"/>
      <c r="C194" s="238"/>
      <c r="D194" s="238"/>
      <c r="E194" s="238"/>
      <c r="F194" s="238"/>
      <c r="G194" s="238"/>
      <c r="H194" s="238"/>
      <c r="I194" s="238"/>
      <c r="J194" s="238"/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</row>
    <row r="195" spans="2:23" ht="12.75" customHeight="1">
      <c r="B195" s="238"/>
      <c r="C195" s="238"/>
      <c r="D195" s="238"/>
      <c r="E195" s="238"/>
      <c r="F195" s="238"/>
      <c r="G195" s="238"/>
      <c r="H195" s="238"/>
      <c r="I195" s="238"/>
      <c r="J195" s="238"/>
      <c r="K195" s="238"/>
      <c r="L195" s="238"/>
      <c r="M195" s="238"/>
      <c r="N195" s="238"/>
      <c r="O195" s="238"/>
      <c r="P195" s="238"/>
      <c r="Q195" s="238"/>
      <c r="R195" s="238"/>
      <c r="S195" s="238"/>
      <c r="T195" s="238"/>
      <c r="U195" s="238"/>
      <c r="V195" s="238"/>
      <c r="W195" s="238"/>
    </row>
    <row r="196" spans="2:23" ht="12.75" customHeight="1">
      <c r="B196" s="238"/>
      <c r="C196" s="238"/>
      <c r="D196" s="238"/>
      <c r="E196" s="238"/>
      <c r="F196" s="238"/>
      <c r="G196" s="238"/>
      <c r="H196" s="238"/>
      <c r="I196" s="238"/>
      <c r="J196" s="238"/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</row>
    <row r="197" spans="2:23" ht="12.75" customHeight="1">
      <c r="B197" s="238"/>
      <c r="C197" s="238"/>
      <c r="D197" s="238"/>
      <c r="E197" s="238"/>
      <c r="F197" s="238"/>
      <c r="G197" s="238"/>
      <c r="H197" s="238"/>
      <c r="I197" s="238"/>
      <c r="J197" s="238"/>
      <c r="K197" s="238"/>
      <c r="L197" s="238"/>
      <c r="M197" s="238"/>
      <c r="N197" s="238"/>
      <c r="O197" s="238"/>
      <c r="P197" s="238"/>
      <c r="Q197" s="238"/>
      <c r="R197" s="238"/>
      <c r="S197" s="238"/>
      <c r="T197" s="238"/>
      <c r="U197" s="238"/>
      <c r="V197" s="238"/>
      <c r="W197" s="238"/>
    </row>
    <row r="198" spans="2:23" ht="12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  <c r="L198" s="238"/>
      <c r="M198" s="238"/>
      <c r="N198" s="238"/>
      <c r="O198" s="238"/>
      <c r="P198" s="238"/>
      <c r="Q198" s="238"/>
      <c r="R198" s="238"/>
      <c r="S198" s="238"/>
      <c r="T198" s="238"/>
      <c r="U198" s="238"/>
      <c r="V198" s="238"/>
      <c r="W198" s="238"/>
    </row>
    <row r="199" spans="2:23" ht="12.75" customHeight="1">
      <c r="B199" s="238"/>
      <c r="C199" s="238"/>
      <c r="D199" s="238"/>
      <c r="E199" s="238"/>
      <c r="F199" s="238"/>
      <c r="G199" s="238"/>
      <c r="H199" s="238"/>
      <c r="I199" s="238"/>
      <c r="J199" s="238"/>
      <c r="K199" s="238"/>
      <c r="L199" s="238"/>
      <c r="M199" s="238"/>
      <c r="N199" s="238"/>
      <c r="O199" s="238"/>
      <c r="P199" s="238"/>
      <c r="Q199" s="238"/>
      <c r="R199" s="238"/>
      <c r="S199" s="238"/>
      <c r="T199" s="238"/>
      <c r="U199" s="238"/>
      <c r="V199" s="238"/>
      <c r="W199" s="238"/>
    </row>
    <row r="200" spans="2:23" ht="12.75" customHeight="1">
      <c r="B200" s="238"/>
      <c r="C200" s="238"/>
      <c r="D200" s="238"/>
      <c r="E200" s="238"/>
      <c r="F200" s="238"/>
      <c r="G200" s="238"/>
      <c r="H200" s="238"/>
      <c r="I200" s="238"/>
      <c r="J200" s="238"/>
      <c r="K200" s="238"/>
      <c r="L200" s="238"/>
      <c r="M200" s="238"/>
      <c r="N200" s="238"/>
      <c r="O200" s="238"/>
      <c r="P200" s="238"/>
      <c r="Q200" s="238"/>
      <c r="R200" s="238"/>
      <c r="S200" s="238"/>
      <c r="T200" s="238"/>
      <c r="U200" s="238"/>
      <c r="V200" s="238"/>
      <c r="W200" s="238"/>
    </row>
    <row r="201" spans="2:23" ht="12.75" customHeight="1">
      <c r="B201" s="238"/>
      <c r="C201" s="238"/>
      <c r="D201" s="238"/>
      <c r="E201" s="238"/>
      <c r="F201" s="238"/>
      <c r="G201" s="238"/>
      <c r="H201" s="238"/>
      <c r="I201" s="238"/>
      <c r="J201" s="238"/>
      <c r="K201" s="238"/>
      <c r="L201" s="238"/>
      <c r="M201" s="238"/>
      <c r="N201" s="238"/>
      <c r="O201" s="238"/>
      <c r="P201" s="238"/>
      <c r="Q201" s="238"/>
      <c r="R201" s="238"/>
      <c r="S201" s="238"/>
      <c r="T201" s="238"/>
      <c r="U201" s="238"/>
      <c r="V201" s="238"/>
      <c r="W201" s="238"/>
    </row>
    <row r="202" spans="2:23" ht="12.75" customHeight="1">
      <c r="B202" s="238"/>
      <c r="C202" s="238"/>
      <c r="D202" s="238"/>
      <c r="E202" s="238"/>
      <c r="F202" s="238"/>
      <c r="G202" s="238"/>
      <c r="H202" s="238"/>
      <c r="I202" s="238"/>
      <c r="J202" s="238"/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</row>
    <row r="203" spans="2:23" ht="12.75" customHeight="1">
      <c r="B203" s="238"/>
      <c r="C203" s="238"/>
      <c r="D203" s="238"/>
      <c r="E203" s="238"/>
      <c r="F203" s="238"/>
      <c r="G203" s="238"/>
      <c r="H203" s="238"/>
      <c r="I203" s="238"/>
      <c r="J203" s="238"/>
      <c r="K203" s="238"/>
      <c r="L203" s="238"/>
      <c r="M203" s="238"/>
      <c r="N203" s="238"/>
      <c r="O203" s="238"/>
      <c r="P203" s="238"/>
      <c r="Q203" s="238"/>
      <c r="R203" s="238"/>
      <c r="S203" s="238"/>
      <c r="T203" s="238"/>
      <c r="U203" s="238"/>
      <c r="V203" s="238"/>
      <c r="W203" s="238"/>
    </row>
    <row r="204" spans="2:23" ht="12.75" customHeight="1">
      <c r="B204" s="238"/>
      <c r="C204" s="238"/>
      <c r="D204" s="238"/>
      <c r="E204" s="238"/>
      <c r="F204" s="238"/>
      <c r="G204" s="238"/>
      <c r="H204" s="238"/>
      <c r="I204" s="238"/>
      <c r="J204" s="238"/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</row>
    <row r="205" spans="2:23" ht="12.75" customHeight="1">
      <c r="B205" s="238"/>
      <c r="C205" s="238"/>
      <c r="D205" s="238"/>
      <c r="E205" s="238"/>
      <c r="F205" s="238"/>
      <c r="G205" s="238"/>
      <c r="H205" s="238"/>
      <c r="I205" s="238"/>
      <c r="J205" s="238"/>
      <c r="K205" s="238"/>
      <c r="L205" s="238"/>
      <c r="M205" s="238"/>
      <c r="N205" s="238"/>
      <c r="O205" s="238"/>
      <c r="P205" s="238"/>
      <c r="Q205" s="238"/>
      <c r="R205" s="238"/>
      <c r="S205" s="238"/>
      <c r="T205" s="238"/>
      <c r="U205" s="238"/>
      <c r="V205" s="238"/>
      <c r="W205" s="238"/>
    </row>
    <row r="206" spans="2:23" ht="12.75" customHeight="1">
      <c r="B206" s="238"/>
      <c r="C206" s="238"/>
      <c r="D206" s="238"/>
      <c r="E206" s="238"/>
      <c r="F206" s="238"/>
      <c r="G206" s="238"/>
      <c r="H206" s="238"/>
      <c r="I206" s="238"/>
      <c r="J206" s="238"/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</row>
    <row r="207" spans="2:23" ht="12.75" customHeight="1">
      <c r="B207" s="238"/>
      <c r="C207" s="238"/>
      <c r="D207" s="238"/>
      <c r="E207" s="238"/>
      <c r="F207" s="238"/>
      <c r="G207" s="238"/>
      <c r="H207" s="238"/>
      <c r="I207" s="238"/>
      <c r="J207" s="238"/>
      <c r="K207" s="238"/>
      <c r="L207" s="238"/>
      <c r="M207" s="238"/>
      <c r="N207" s="238"/>
      <c r="O207" s="238"/>
      <c r="P207" s="238"/>
      <c r="Q207" s="238"/>
      <c r="R207" s="238"/>
      <c r="S207" s="238"/>
      <c r="T207" s="238"/>
      <c r="U207" s="238"/>
      <c r="V207" s="238"/>
      <c r="W207" s="238"/>
    </row>
    <row r="208" spans="2:23" ht="12.75" customHeight="1">
      <c r="B208" s="238"/>
      <c r="C208" s="238"/>
      <c r="D208" s="238"/>
      <c r="E208" s="238"/>
      <c r="F208" s="238"/>
      <c r="G208" s="238"/>
      <c r="H208" s="238"/>
      <c r="I208" s="238"/>
      <c r="J208" s="238"/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</row>
    <row r="209" spans="2:23" ht="12.75" customHeight="1">
      <c r="B209" s="238"/>
      <c r="C209" s="238"/>
      <c r="D209" s="238"/>
      <c r="E209" s="238"/>
      <c r="F209" s="238"/>
      <c r="G209" s="238"/>
      <c r="H209" s="238"/>
      <c r="I209" s="238"/>
      <c r="J209" s="238"/>
      <c r="K209" s="238"/>
      <c r="L209" s="238"/>
      <c r="M209" s="238"/>
      <c r="N209" s="238"/>
      <c r="O209" s="238"/>
      <c r="P209" s="238"/>
      <c r="Q209" s="238"/>
      <c r="R209" s="238"/>
      <c r="S209" s="238"/>
      <c r="T209" s="238"/>
      <c r="U209" s="238"/>
      <c r="V209" s="238"/>
      <c r="W209" s="238"/>
    </row>
    <row r="210" spans="2:23" ht="12.75" customHeight="1">
      <c r="B210" s="238"/>
      <c r="C210" s="238"/>
      <c r="D210" s="238"/>
      <c r="E210" s="238"/>
      <c r="F210" s="238"/>
      <c r="G210" s="238"/>
      <c r="H210" s="238"/>
      <c r="I210" s="238"/>
      <c r="J210" s="238"/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</row>
    <row r="211" spans="2:23" ht="12.75" customHeight="1">
      <c r="B211" s="238"/>
      <c r="C211" s="238"/>
      <c r="D211" s="238"/>
      <c r="E211" s="238"/>
      <c r="F211" s="238"/>
      <c r="G211" s="238"/>
      <c r="H211" s="238"/>
      <c r="I211" s="238"/>
      <c r="J211" s="238"/>
      <c r="K211" s="238"/>
      <c r="L211" s="238"/>
      <c r="M211" s="238"/>
      <c r="N211" s="238"/>
      <c r="O211" s="238"/>
      <c r="P211" s="238"/>
      <c r="Q211" s="238"/>
      <c r="R211" s="238"/>
      <c r="S211" s="238"/>
      <c r="T211" s="238"/>
      <c r="U211" s="238"/>
      <c r="V211" s="238"/>
      <c r="W211" s="238"/>
    </row>
    <row r="212" spans="2:23" ht="12.75" customHeight="1">
      <c r="B212" s="238"/>
      <c r="C212" s="238"/>
      <c r="D212" s="238"/>
      <c r="E212" s="238"/>
      <c r="F212" s="238"/>
      <c r="G212" s="238"/>
      <c r="H212" s="238"/>
      <c r="I212" s="238"/>
      <c r="J212" s="238"/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</row>
    <row r="213" spans="2:23" ht="12.75" customHeight="1">
      <c r="B213" s="238"/>
      <c r="C213" s="238"/>
      <c r="D213" s="238"/>
      <c r="E213" s="238"/>
      <c r="F213" s="238"/>
      <c r="G213" s="238"/>
      <c r="H213" s="238"/>
      <c r="I213" s="238"/>
      <c r="J213" s="238"/>
      <c r="K213" s="238"/>
      <c r="L213" s="238"/>
      <c r="M213" s="238"/>
      <c r="N213" s="238"/>
      <c r="O213" s="238"/>
      <c r="P213" s="238"/>
      <c r="Q213" s="238"/>
      <c r="R213" s="238"/>
      <c r="S213" s="238"/>
      <c r="T213" s="238"/>
      <c r="U213" s="238"/>
      <c r="V213" s="238"/>
      <c r="W213" s="238"/>
    </row>
    <row r="214" spans="2:23" ht="12.75" customHeight="1">
      <c r="B214" s="238"/>
      <c r="C214" s="238"/>
      <c r="D214" s="238"/>
      <c r="E214" s="238"/>
      <c r="F214" s="238"/>
      <c r="G214" s="238"/>
      <c r="H214" s="238"/>
      <c r="I214" s="238"/>
      <c r="J214" s="238"/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</row>
    <row r="215" spans="2:23" ht="12.75" customHeight="1">
      <c r="B215" s="238"/>
      <c r="C215" s="238"/>
      <c r="D215" s="238"/>
      <c r="E215" s="238"/>
      <c r="F215" s="238"/>
      <c r="G215" s="238"/>
      <c r="H215" s="238"/>
      <c r="I215" s="238"/>
      <c r="J215" s="238"/>
      <c r="K215" s="238"/>
      <c r="L215" s="238"/>
      <c r="M215" s="238"/>
      <c r="N215" s="238"/>
      <c r="O215" s="238"/>
      <c r="P215" s="238"/>
      <c r="Q215" s="238"/>
      <c r="R215" s="238"/>
      <c r="S215" s="238"/>
      <c r="T215" s="238"/>
      <c r="U215" s="238"/>
      <c r="V215" s="238"/>
      <c r="W215" s="238"/>
    </row>
    <row r="216" spans="2:23" ht="12.75" customHeight="1">
      <c r="B216" s="238"/>
      <c r="C216" s="238"/>
      <c r="D216" s="238"/>
      <c r="E216" s="238"/>
      <c r="F216" s="238"/>
      <c r="G216" s="238"/>
      <c r="H216" s="238"/>
      <c r="I216" s="238"/>
      <c r="J216" s="238"/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</row>
    <row r="217" spans="2:23" ht="12.75" customHeight="1">
      <c r="B217" s="238"/>
      <c r="C217" s="238"/>
      <c r="D217" s="238"/>
      <c r="E217" s="238"/>
      <c r="F217" s="238"/>
      <c r="G217" s="238"/>
      <c r="H217" s="238"/>
      <c r="I217" s="238"/>
      <c r="J217" s="238"/>
      <c r="K217" s="238"/>
      <c r="L217" s="238"/>
      <c r="M217" s="238"/>
      <c r="N217" s="238"/>
      <c r="O217" s="238"/>
      <c r="P217" s="238"/>
      <c r="Q217" s="238"/>
      <c r="R217" s="238"/>
      <c r="S217" s="238"/>
      <c r="T217" s="238"/>
      <c r="U217" s="238"/>
      <c r="V217" s="238"/>
      <c r="W217" s="238"/>
    </row>
    <row r="218" spans="2:23" ht="12.75" customHeight="1">
      <c r="B218" s="238"/>
      <c r="C218" s="238"/>
      <c r="D218" s="238"/>
      <c r="E218" s="238"/>
      <c r="F218" s="238"/>
      <c r="G218" s="238"/>
      <c r="H218" s="238"/>
      <c r="I218" s="238"/>
      <c r="J218" s="238"/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</row>
    <row r="219" spans="2:23" ht="12.75" customHeight="1">
      <c r="B219" s="238"/>
      <c r="C219" s="238"/>
      <c r="D219" s="238"/>
      <c r="E219" s="238"/>
      <c r="F219" s="238"/>
      <c r="G219" s="238"/>
      <c r="H219" s="238"/>
      <c r="I219" s="238"/>
      <c r="J219" s="238"/>
      <c r="K219" s="238"/>
      <c r="L219" s="238"/>
      <c r="M219" s="238"/>
      <c r="N219" s="238"/>
      <c r="O219" s="238"/>
      <c r="P219" s="238"/>
      <c r="Q219" s="238"/>
      <c r="R219" s="238"/>
      <c r="S219" s="238"/>
      <c r="T219" s="238"/>
      <c r="U219" s="238"/>
      <c r="V219" s="238"/>
      <c r="W219" s="238"/>
    </row>
    <row r="220" spans="2:23" ht="12.75" customHeight="1">
      <c r="B220" s="238"/>
      <c r="C220" s="238"/>
      <c r="D220" s="238"/>
      <c r="E220" s="238"/>
      <c r="F220" s="238"/>
      <c r="G220" s="238"/>
      <c r="H220" s="238"/>
      <c r="I220" s="238"/>
      <c r="J220" s="238"/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</row>
    <row r="221" spans="2:23" ht="12.75" customHeight="1">
      <c r="B221" s="238"/>
      <c r="C221" s="238"/>
      <c r="D221" s="238"/>
      <c r="E221" s="238"/>
      <c r="F221" s="238"/>
      <c r="G221" s="238"/>
      <c r="H221" s="238"/>
      <c r="I221" s="238"/>
      <c r="J221" s="238"/>
      <c r="K221" s="238"/>
      <c r="L221" s="238"/>
      <c r="M221" s="238"/>
      <c r="N221" s="238"/>
      <c r="O221" s="238"/>
      <c r="P221" s="238"/>
      <c r="Q221" s="238"/>
      <c r="R221" s="238"/>
      <c r="S221" s="238"/>
      <c r="T221" s="238"/>
      <c r="U221" s="238"/>
      <c r="V221" s="238"/>
      <c r="W221" s="238"/>
    </row>
    <row r="222" spans="2:23" ht="12.75" customHeight="1">
      <c r="B222" s="238"/>
      <c r="C222" s="238"/>
      <c r="D222" s="238"/>
      <c r="E222" s="238"/>
      <c r="F222" s="238"/>
      <c r="G222" s="238"/>
      <c r="H222" s="238"/>
      <c r="I222" s="238"/>
      <c r="J222" s="238"/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</row>
    <row r="223" spans="2:23" ht="12.75" customHeight="1">
      <c r="B223" s="238"/>
      <c r="C223" s="238"/>
      <c r="D223" s="238"/>
      <c r="E223" s="238"/>
      <c r="F223" s="238"/>
      <c r="G223" s="238"/>
      <c r="H223" s="238"/>
      <c r="I223" s="238"/>
      <c r="J223" s="238"/>
      <c r="K223" s="238"/>
      <c r="L223" s="238"/>
      <c r="M223" s="238"/>
      <c r="N223" s="238"/>
      <c r="O223" s="238"/>
      <c r="P223" s="238"/>
      <c r="Q223" s="238"/>
      <c r="R223" s="238"/>
      <c r="S223" s="238"/>
      <c r="T223" s="238"/>
      <c r="U223" s="238"/>
      <c r="V223" s="238"/>
      <c r="W223" s="238"/>
    </row>
    <row r="224" spans="2:23" ht="12.75" customHeight="1">
      <c r="B224" s="238"/>
      <c r="C224" s="238"/>
      <c r="D224" s="238"/>
      <c r="E224" s="238"/>
      <c r="F224" s="238"/>
      <c r="G224" s="238"/>
      <c r="H224" s="238"/>
      <c r="I224" s="238"/>
      <c r="J224" s="238"/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</row>
    <row r="225" spans="2:23" ht="12.75" customHeight="1">
      <c r="B225" s="238"/>
      <c r="C225" s="238"/>
      <c r="D225" s="238"/>
      <c r="E225" s="238"/>
      <c r="F225" s="238"/>
      <c r="G225" s="238"/>
      <c r="H225" s="238"/>
      <c r="I225" s="238"/>
      <c r="J225" s="238"/>
      <c r="K225" s="238"/>
      <c r="L225" s="238"/>
      <c r="M225" s="238"/>
      <c r="N225" s="238"/>
      <c r="O225" s="238"/>
      <c r="P225" s="238"/>
      <c r="Q225" s="238"/>
      <c r="R225" s="238"/>
      <c r="S225" s="238"/>
      <c r="T225" s="238"/>
      <c r="U225" s="238"/>
      <c r="V225" s="238"/>
      <c r="W225" s="238"/>
    </row>
    <row r="226" spans="2:23" ht="12.75" customHeight="1">
      <c r="B226" s="238"/>
      <c r="C226" s="238"/>
      <c r="D226" s="238"/>
      <c r="E226" s="238"/>
      <c r="F226" s="238"/>
      <c r="G226" s="238"/>
      <c r="H226" s="238"/>
      <c r="I226" s="238"/>
      <c r="J226" s="238"/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</row>
    <row r="227" spans="2:23" ht="12.75" customHeight="1">
      <c r="B227" s="238"/>
      <c r="C227" s="238"/>
      <c r="D227" s="238"/>
      <c r="E227" s="238"/>
      <c r="F227" s="238"/>
      <c r="G227" s="238"/>
      <c r="H227" s="238"/>
      <c r="I227" s="238"/>
      <c r="J227" s="238"/>
      <c r="K227" s="238"/>
      <c r="L227" s="238"/>
      <c r="M227" s="238"/>
      <c r="N227" s="238"/>
      <c r="O227" s="238"/>
      <c r="P227" s="238"/>
      <c r="Q227" s="238"/>
      <c r="R227" s="238"/>
      <c r="S227" s="238"/>
      <c r="T227" s="238"/>
      <c r="U227" s="238"/>
      <c r="V227" s="238"/>
      <c r="W227" s="238"/>
    </row>
    <row r="228" spans="2:23" ht="12.75" customHeight="1">
      <c r="B228" s="238"/>
      <c r="C228" s="238"/>
      <c r="D228" s="238"/>
      <c r="E228" s="238"/>
      <c r="F228" s="238"/>
      <c r="G228" s="238"/>
      <c r="H228" s="238"/>
      <c r="I228" s="238"/>
      <c r="J228" s="238"/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</row>
    <row r="229" spans="2:23" ht="12.75" customHeight="1">
      <c r="B229" s="238"/>
      <c r="C229" s="238"/>
      <c r="D229" s="238"/>
      <c r="E229" s="238"/>
      <c r="F229" s="238"/>
      <c r="G229" s="238"/>
      <c r="H229" s="238"/>
      <c r="I229" s="238"/>
      <c r="J229" s="238"/>
      <c r="K229" s="238"/>
      <c r="L229" s="238"/>
      <c r="M229" s="238"/>
      <c r="N229" s="238"/>
      <c r="O229" s="238"/>
      <c r="P229" s="238"/>
      <c r="Q229" s="238"/>
      <c r="R229" s="238"/>
      <c r="S229" s="238"/>
      <c r="T229" s="238"/>
      <c r="U229" s="238"/>
      <c r="V229" s="238"/>
      <c r="W229" s="238"/>
    </row>
    <row r="230" spans="2:23" ht="12.75" customHeight="1">
      <c r="B230" s="238"/>
      <c r="C230" s="238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</row>
    <row r="231" spans="2:23" ht="12.75" customHeight="1">
      <c r="B231" s="238"/>
      <c r="C231" s="238"/>
      <c r="D231" s="238"/>
      <c r="E231" s="238"/>
      <c r="F231" s="238"/>
      <c r="G231" s="238"/>
      <c r="H231" s="238"/>
      <c r="I231" s="238"/>
      <c r="J231" s="238"/>
      <c r="K231" s="238"/>
      <c r="L231" s="238"/>
      <c r="M231" s="238"/>
      <c r="N231" s="238"/>
      <c r="O231" s="238"/>
      <c r="P231" s="238"/>
      <c r="Q231" s="238"/>
      <c r="R231" s="238"/>
      <c r="S231" s="238"/>
      <c r="T231" s="238"/>
      <c r="U231" s="238"/>
      <c r="V231" s="238"/>
      <c r="W231" s="238"/>
    </row>
    <row r="232" spans="2:23" ht="12.75" customHeight="1">
      <c r="B232" s="238"/>
      <c r="C232" s="238"/>
      <c r="D232" s="238"/>
      <c r="E232" s="238"/>
      <c r="F232" s="238"/>
      <c r="G232" s="238"/>
      <c r="H232" s="238"/>
      <c r="I232" s="238"/>
      <c r="J232" s="238"/>
      <c r="K232" s="238"/>
      <c r="L232" s="238"/>
      <c r="M232" s="238"/>
      <c r="N232" s="238"/>
      <c r="O232" s="238"/>
      <c r="P232" s="238"/>
      <c r="Q232" s="238"/>
      <c r="R232" s="238"/>
      <c r="S232" s="238"/>
      <c r="T232" s="238"/>
      <c r="U232" s="238"/>
      <c r="V232" s="238"/>
      <c r="W232" s="238"/>
    </row>
    <row r="233" spans="2:23" ht="12.75" customHeight="1">
      <c r="B233" s="238"/>
      <c r="C233" s="238"/>
      <c r="D233" s="238"/>
      <c r="E233" s="238"/>
      <c r="F233" s="238"/>
      <c r="G233" s="238"/>
      <c r="H233" s="238"/>
      <c r="I233" s="238"/>
      <c r="J233" s="238"/>
      <c r="K233" s="238"/>
      <c r="L233" s="238"/>
      <c r="M233" s="238"/>
      <c r="N233" s="238"/>
      <c r="O233" s="238"/>
      <c r="P233" s="238"/>
      <c r="Q233" s="238"/>
      <c r="R233" s="238"/>
      <c r="S233" s="238"/>
      <c r="T233" s="238"/>
      <c r="U233" s="238"/>
      <c r="V233" s="238"/>
      <c r="W233" s="238"/>
    </row>
    <row r="234" spans="2:23" ht="12.75" customHeight="1">
      <c r="B234" s="238"/>
      <c r="C234" s="238"/>
      <c r="D234" s="238"/>
      <c r="E234" s="238"/>
      <c r="F234" s="238"/>
      <c r="G234" s="238"/>
      <c r="H234" s="238"/>
      <c r="I234" s="238"/>
      <c r="J234" s="238"/>
      <c r="K234" s="238"/>
      <c r="L234" s="238"/>
      <c r="M234" s="238"/>
      <c r="N234" s="238"/>
      <c r="O234" s="238"/>
      <c r="P234" s="238"/>
      <c r="Q234" s="238"/>
      <c r="R234" s="238"/>
      <c r="S234" s="238"/>
      <c r="T234" s="238"/>
      <c r="U234" s="238"/>
      <c r="V234" s="238"/>
      <c r="W234" s="238"/>
    </row>
    <row r="235" spans="2:23" ht="12.75" customHeight="1">
      <c r="B235" s="238"/>
      <c r="C235" s="238"/>
      <c r="D235" s="238"/>
      <c r="E235" s="238"/>
      <c r="F235" s="238"/>
      <c r="G235" s="238"/>
      <c r="H235" s="238"/>
      <c r="I235" s="238"/>
      <c r="J235" s="238"/>
      <c r="K235" s="238"/>
      <c r="L235" s="238"/>
      <c r="M235" s="238"/>
      <c r="N235" s="238"/>
      <c r="O235" s="238"/>
      <c r="P235" s="238"/>
      <c r="Q235" s="238"/>
      <c r="R235" s="238"/>
      <c r="S235" s="238"/>
      <c r="T235" s="238"/>
      <c r="U235" s="238"/>
      <c r="V235" s="238"/>
      <c r="W235" s="238"/>
    </row>
    <row r="236" spans="2:23" ht="12.75" customHeight="1">
      <c r="B236" s="238"/>
      <c r="C236" s="238"/>
      <c r="D236" s="238"/>
      <c r="E236" s="238"/>
      <c r="F236" s="238"/>
      <c r="G236" s="238"/>
      <c r="H236" s="238"/>
      <c r="I236" s="238"/>
      <c r="J236" s="238"/>
      <c r="K236" s="238"/>
      <c r="L236" s="238"/>
      <c r="M236" s="238"/>
      <c r="N236" s="238"/>
      <c r="O236" s="238"/>
      <c r="P236" s="238"/>
      <c r="Q236" s="238"/>
      <c r="R236" s="238"/>
      <c r="S236" s="238"/>
      <c r="T236" s="238"/>
      <c r="U236" s="238"/>
      <c r="V236" s="238"/>
      <c r="W236" s="238"/>
    </row>
    <row r="237" spans="2:23" ht="12.75" customHeight="1">
      <c r="B237" s="238"/>
      <c r="C237" s="238"/>
      <c r="D237" s="238"/>
      <c r="E237" s="238"/>
      <c r="F237" s="238"/>
      <c r="G237" s="238"/>
      <c r="H237" s="238"/>
      <c r="I237" s="238"/>
      <c r="J237" s="238"/>
      <c r="K237" s="238"/>
      <c r="L237" s="238"/>
      <c r="M237" s="238"/>
      <c r="N237" s="238"/>
      <c r="O237" s="238"/>
      <c r="P237" s="238"/>
      <c r="Q237" s="238"/>
      <c r="R237" s="238"/>
      <c r="S237" s="238"/>
      <c r="T237" s="238"/>
      <c r="U237" s="238"/>
      <c r="V237" s="238"/>
      <c r="W237" s="238"/>
    </row>
    <row r="238" spans="2:23" ht="12.75" customHeight="1">
      <c r="B238" s="238"/>
      <c r="C238" s="238"/>
      <c r="D238" s="238"/>
      <c r="E238" s="238"/>
      <c r="F238" s="238"/>
      <c r="G238" s="238"/>
      <c r="H238" s="238"/>
      <c r="I238" s="238"/>
      <c r="J238" s="238"/>
      <c r="K238" s="238"/>
      <c r="L238" s="238"/>
      <c r="M238" s="238"/>
      <c r="N238" s="238"/>
      <c r="O238" s="238"/>
      <c r="P238" s="238"/>
      <c r="Q238" s="238"/>
      <c r="R238" s="238"/>
      <c r="S238" s="238"/>
      <c r="T238" s="238"/>
      <c r="U238" s="238"/>
      <c r="V238" s="238"/>
      <c r="W238" s="238"/>
    </row>
    <row r="239" spans="2:23" ht="12.75" customHeight="1">
      <c r="B239" s="238"/>
      <c r="C239" s="238"/>
      <c r="D239" s="238"/>
      <c r="E239" s="238"/>
      <c r="F239" s="238"/>
      <c r="G239" s="238"/>
      <c r="H239" s="238"/>
      <c r="I239" s="238"/>
      <c r="J239" s="238"/>
      <c r="K239" s="238"/>
      <c r="L239" s="238"/>
      <c r="M239" s="238"/>
      <c r="N239" s="238"/>
      <c r="O239" s="238"/>
      <c r="P239" s="238"/>
      <c r="Q239" s="238"/>
      <c r="R239" s="238"/>
      <c r="S239" s="238"/>
      <c r="T239" s="238"/>
      <c r="U239" s="238"/>
      <c r="V239" s="238"/>
      <c r="W239" s="238"/>
    </row>
    <row r="240" spans="2:23" ht="12.75" customHeight="1">
      <c r="B240" s="238"/>
      <c r="C240" s="238"/>
      <c r="D240" s="238"/>
      <c r="E240" s="238"/>
      <c r="F240" s="238"/>
      <c r="G240" s="238"/>
      <c r="H240" s="238"/>
      <c r="I240" s="238"/>
      <c r="J240" s="238"/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</row>
    <row r="241" spans="2:23" ht="12.75" customHeight="1">
      <c r="B241" s="238"/>
      <c r="C241" s="238"/>
      <c r="D241" s="238"/>
      <c r="E241" s="238"/>
      <c r="F241" s="238"/>
      <c r="G241" s="238"/>
      <c r="H241" s="238"/>
      <c r="I241" s="238"/>
      <c r="J241" s="238"/>
      <c r="K241" s="238"/>
      <c r="L241" s="238"/>
      <c r="M241" s="238"/>
      <c r="N241" s="238"/>
      <c r="O241" s="238"/>
      <c r="P241" s="238"/>
      <c r="Q241" s="238"/>
      <c r="R241" s="238"/>
      <c r="S241" s="238"/>
      <c r="T241" s="238"/>
      <c r="U241" s="238"/>
      <c r="V241" s="238"/>
      <c r="W241" s="238"/>
    </row>
    <row r="242" spans="2:23" ht="12.75" customHeight="1">
      <c r="B242" s="238"/>
      <c r="C242" s="238"/>
      <c r="D242" s="238"/>
      <c r="E242" s="238"/>
      <c r="F242" s="238"/>
      <c r="G242" s="238"/>
      <c r="H242" s="238"/>
      <c r="I242" s="238"/>
      <c r="J242" s="238"/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</row>
    <row r="243" spans="2:23" ht="12.75" customHeight="1">
      <c r="B243" s="238"/>
      <c r="C243" s="238"/>
      <c r="D243" s="238"/>
      <c r="E243" s="238"/>
      <c r="F243" s="238"/>
      <c r="G243" s="238"/>
      <c r="H243" s="238"/>
      <c r="I243" s="238"/>
      <c r="J243" s="238"/>
      <c r="K243" s="238"/>
      <c r="L243" s="238"/>
      <c r="M243" s="238"/>
      <c r="N243" s="238"/>
      <c r="O243" s="238"/>
      <c r="P243" s="238"/>
      <c r="Q243" s="238"/>
      <c r="R243" s="238"/>
      <c r="S243" s="238"/>
      <c r="T243" s="238"/>
      <c r="U243" s="238"/>
      <c r="V243" s="238"/>
      <c r="W243" s="238"/>
    </row>
    <row r="244" spans="2:23" ht="12.75" customHeight="1">
      <c r="B244" s="238"/>
      <c r="C244" s="238"/>
      <c r="D244" s="238"/>
      <c r="E244" s="238"/>
      <c r="F244" s="238"/>
      <c r="G244" s="238"/>
      <c r="H244" s="238"/>
      <c r="I244" s="238"/>
      <c r="J244" s="238"/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M12" sqref="M12:M15"/>
    </sheetView>
  </sheetViews>
  <sheetFormatPr defaultColWidth="9.140625" defaultRowHeight="14.25"/>
  <cols>
    <col min="1" max="1" width="5.42578125" style="470" customWidth="1"/>
    <col min="2" max="2" width="5" style="470" customWidth="1"/>
    <col min="3" max="3" width="20.140625" style="470" customWidth="1"/>
    <col min="4" max="4" width="3.28515625" style="470" customWidth="1"/>
    <col min="5" max="5" width="14" style="62" customWidth="1"/>
    <col min="6" max="6" width="9.140625" style="470"/>
    <col min="7" max="7" width="10.28515625" style="470" customWidth="1"/>
    <col min="8" max="13" width="9.140625" style="470"/>
    <col min="14" max="15" width="3.42578125" style="470" customWidth="1"/>
    <col min="16" max="16" width="5.5703125" style="470" customWidth="1"/>
    <col min="17" max="16384" width="9.140625" style="470"/>
  </cols>
  <sheetData>
    <row r="1" spans="1:16" ht="25.5">
      <c r="A1" s="784" t="str">
        <f>封面!$A$4</f>
        <v>彰化縣地方教育發展基金－彰化縣秀水鄉馬興國民小學</v>
      </c>
      <c r="B1" s="784"/>
      <c r="C1" s="784"/>
      <c r="D1" s="784"/>
      <c r="E1" s="784"/>
      <c r="F1" s="784"/>
      <c r="G1" s="784"/>
      <c r="H1" s="784"/>
      <c r="I1" s="784"/>
      <c r="J1" s="784"/>
      <c r="K1" s="784"/>
      <c r="L1" s="784"/>
      <c r="M1" s="784"/>
      <c r="N1" s="784"/>
      <c r="O1" s="784"/>
    </row>
    <row r="2" spans="1:16" ht="19.5">
      <c r="A2" s="785" t="s">
        <v>116</v>
      </c>
      <c r="B2" s="785"/>
      <c r="C2" s="785"/>
      <c r="D2" s="785"/>
      <c r="E2" s="785"/>
      <c r="F2" s="785"/>
      <c r="G2" s="785"/>
      <c r="H2" s="785"/>
      <c r="I2" s="785"/>
      <c r="J2" s="785"/>
      <c r="K2" s="785"/>
      <c r="L2" s="785"/>
      <c r="M2" s="785"/>
      <c r="N2" s="785"/>
      <c r="O2" s="785"/>
    </row>
    <row r="3" spans="1:16" ht="15.75">
      <c r="A3" s="786" t="str">
        <f>封面!$E$10&amp;封面!$H$10&amp;封面!$I$10&amp;封面!$J$10&amp;封面!$K$10&amp;封面!L10</f>
        <v>中華民國112年9月份</v>
      </c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</row>
    <row r="4" spans="1:16" s="471" customFormat="1" ht="16.5">
      <c r="A4" s="471" t="s">
        <v>220</v>
      </c>
      <c r="B4" s="783" t="s">
        <v>221</v>
      </c>
      <c r="C4" s="783"/>
      <c r="D4" s="783"/>
      <c r="E4" s="783"/>
      <c r="F4" s="783"/>
      <c r="G4" s="783"/>
      <c r="H4" s="783"/>
      <c r="I4" s="783"/>
      <c r="J4" s="783"/>
      <c r="K4" s="783"/>
      <c r="L4" s="783"/>
      <c r="M4" s="783"/>
      <c r="N4" s="783"/>
      <c r="O4" s="783"/>
      <c r="P4" s="783"/>
    </row>
    <row r="5" spans="1:16" s="471" customFormat="1" ht="16.5">
      <c r="B5" s="471" t="s">
        <v>438</v>
      </c>
      <c r="C5" s="471" t="s">
        <v>439</v>
      </c>
      <c r="D5" s="590"/>
      <c r="E5" s="60" t="s">
        <v>194</v>
      </c>
      <c r="F5" s="590"/>
      <c r="G5" s="590"/>
      <c r="H5" s="590"/>
      <c r="I5" s="590"/>
    </row>
    <row r="6" spans="1:16" s="471" customFormat="1" ht="16.5">
      <c r="D6" s="102" t="s">
        <v>222</v>
      </c>
      <c r="E6" s="60" t="s">
        <v>195</v>
      </c>
      <c r="F6" s="590"/>
      <c r="G6" s="590"/>
      <c r="H6" s="210" t="s">
        <v>463</v>
      </c>
      <c r="I6" s="333"/>
      <c r="J6" s="333"/>
      <c r="K6" s="333"/>
      <c r="L6" s="333"/>
      <c r="M6" s="333"/>
      <c r="N6" s="333"/>
      <c r="O6" s="333"/>
      <c r="P6" s="333"/>
    </row>
    <row r="7" spans="1:16" s="471" customFormat="1" ht="16.5">
      <c r="B7" s="471" t="s">
        <v>440</v>
      </c>
      <c r="C7" s="471" t="s">
        <v>441</v>
      </c>
      <c r="E7" s="60" t="s">
        <v>194</v>
      </c>
      <c r="H7" s="333"/>
      <c r="I7" s="333"/>
      <c r="J7" s="333"/>
      <c r="K7" s="333"/>
      <c r="L7" s="333"/>
      <c r="M7" s="333"/>
      <c r="N7" s="333"/>
      <c r="O7" s="333"/>
      <c r="P7" s="333"/>
    </row>
    <row r="8" spans="1:16" s="471" customFormat="1" ht="16.5">
      <c r="D8" s="102" t="s">
        <v>442</v>
      </c>
      <c r="E8" s="60" t="s">
        <v>195</v>
      </c>
      <c r="H8" s="210" t="s">
        <v>450</v>
      </c>
      <c r="I8" s="333"/>
      <c r="J8" s="333"/>
      <c r="K8" s="333"/>
      <c r="L8" s="333"/>
      <c r="M8" s="333"/>
      <c r="N8" s="333"/>
      <c r="O8" s="333"/>
      <c r="P8" s="333"/>
    </row>
    <row r="9" spans="1:16" s="471" customFormat="1" ht="16.5">
      <c r="B9" s="471" t="s">
        <v>293</v>
      </c>
      <c r="C9" s="471" t="s">
        <v>223</v>
      </c>
      <c r="D9" s="102" t="s">
        <v>222</v>
      </c>
      <c r="E9" s="60" t="s">
        <v>194</v>
      </c>
      <c r="H9" s="333"/>
      <c r="I9" s="333"/>
      <c r="J9" s="333"/>
      <c r="K9" s="333"/>
      <c r="L9" s="333"/>
      <c r="M9" s="333"/>
      <c r="N9" s="333"/>
      <c r="O9" s="333"/>
      <c r="P9" s="333"/>
    </row>
    <row r="10" spans="1:16" s="471" customFormat="1" ht="16.5">
      <c r="D10" s="573"/>
      <c r="E10" s="60" t="s">
        <v>195</v>
      </c>
      <c r="H10" s="575" t="s">
        <v>451</v>
      </c>
      <c r="I10" s="333"/>
      <c r="J10" s="333"/>
      <c r="K10" s="333"/>
      <c r="L10" s="333"/>
      <c r="M10" s="333"/>
      <c r="N10" s="333"/>
      <c r="O10" s="333"/>
      <c r="P10" s="333"/>
    </row>
    <row r="11" spans="1:16" s="471" customFormat="1" ht="16.5">
      <c r="B11" s="471" t="s">
        <v>294</v>
      </c>
      <c r="C11" s="471" t="s">
        <v>224</v>
      </c>
      <c r="D11" s="102" t="s">
        <v>222</v>
      </c>
      <c r="E11" s="60" t="s">
        <v>194</v>
      </c>
      <c r="H11" s="333"/>
      <c r="I11" s="333"/>
      <c r="J11" s="333"/>
      <c r="K11" s="333"/>
      <c r="L11" s="333"/>
      <c r="M11" s="333"/>
      <c r="N11" s="333"/>
      <c r="O11" s="333"/>
      <c r="P11" s="333"/>
    </row>
    <row r="12" spans="1:16" s="471" customFormat="1" ht="16.5">
      <c r="E12" s="60" t="s">
        <v>195</v>
      </c>
      <c r="H12" s="333"/>
      <c r="I12" s="333"/>
      <c r="J12" s="333"/>
      <c r="K12" s="333"/>
      <c r="L12" s="333"/>
      <c r="M12" s="333"/>
      <c r="N12" s="333"/>
      <c r="O12" s="333"/>
      <c r="P12" s="333"/>
    </row>
    <row r="13" spans="1:16" s="471" customFormat="1" ht="16.5">
      <c r="B13" s="471" t="s">
        <v>295</v>
      </c>
      <c r="C13" s="472" t="s">
        <v>225</v>
      </c>
      <c r="D13" s="579"/>
      <c r="E13" s="490" t="s">
        <v>194</v>
      </c>
      <c r="H13" s="333"/>
      <c r="I13" s="333"/>
      <c r="J13" s="333"/>
      <c r="K13" s="333"/>
      <c r="L13" s="333"/>
      <c r="M13" s="333"/>
      <c r="N13" s="333"/>
      <c r="O13" s="333"/>
      <c r="P13" s="333"/>
    </row>
    <row r="14" spans="1:16" s="471" customFormat="1" ht="16.5" customHeight="1">
      <c r="C14" s="472"/>
      <c r="D14" s="102" t="s">
        <v>222</v>
      </c>
      <c r="E14" s="491" t="s">
        <v>195</v>
      </c>
      <c r="H14" s="787" t="s">
        <v>462</v>
      </c>
      <c r="I14" s="787"/>
      <c r="J14" s="787"/>
      <c r="K14" s="787"/>
      <c r="L14" s="787"/>
      <c r="M14" s="787"/>
      <c r="N14" s="787"/>
      <c r="O14" s="787"/>
      <c r="P14" s="787"/>
    </row>
    <row r="15" spans="1:16" s="471" customFormat="1" ht="16.5" customHeight="1">
      <c r="C15" s="472"/>
      <c r="D15" s="378"/>
      <c r="E15" s="377"/>
      <c r="H15" s="787"/>
      <c r="I15" s="787"/>
      <c r="J15" s="787"/>
      <c r="K15" s="787"/>
      <c r="L15" s="787"/>
      <c r="M15" s="787"/>
      <c r="N15" s="787"/>
      <c r="O15" s="787"/>
      <c r="P15" s="787"/>
    </row>
    <row r="16" spans="1:16" s="471" customFormat="1" ht="15.75" customHeight="1">
      <c r="C16" s="472"/>
      <c r="D16" s="472"/>
      <c r="E16" s="363"/>
    </row>
    <row r="17" spans="1:16" s="471" customFormat="1" ht="16.5">
      <c r="A17" s="471" t="s">
        <v>226</v>
      </c>
      <c r="B17" s="783" t="s">
        <v>227</v>
      </c>
      <c r="C17" s="783"/>
      <c r="D17" s="783"/>
      <c r="E17" s="783"/>
      <c r="F17" s="783"/>
      <c r="G17" s="783"/>
      <c r="H17" s="783"/>
      <c r="I17" s="783"/>
      <c r="J17" s="783"/>
      <c r="K17" s="783"/>
      <c r="L17" s="783"/>
      <c r="M17" s="783"/>
      <c r="N17" s="783"/>
    </row>
    <row r="18" spans="1:16" s="471" customFormat="1" ht="16.5">
      <c r="B18" s="471" t="s">
        <v>228</v>
      </c>
      <c r="C18" s="472" t="s">
        <v>229</v>
      </c>
      <c r="D18" s="472"/>
      <c r="E18" s="379"/>
    </row>
    <row r="19" spans="1:16" s="471" customFormat="1" ht="16.5">
      <c r="C19" s="472" t="s">
        <v>230</v>
      </c>
      <c r="D19" s="376" t="s">
        <v>222</v>
      </c>
      <c r="E19" s="379" t="s">
        <v>231</v>
      </c>
      <c r="F19" s="573"/>
      <c r="G19" s="573"/>
      <c r="H19" s="573"/>
      <c r="I19" s="573"/>
      <c r="J19" s="573"/>
      <c r="K19" s="573"/>
      <c r="L19" s="573"/>
      <c r="M19" s="573"/>
      <c r="N19" s="573"/>
      <c r="O19" s="573"/>
      <c r="P19" s="573"/>
    </row>
    <row r="20" spans="1:16" s="471" customFormat="1" ht="16.5">
      <c r="C20" s="472"/>
      <c r="D20" s="574"/>
      <c r="E20" s="379" t="s">
        <v>232</v>
      </c>
      <c r="F20" s="573"/>
      <c r="G20" s="573"/>
      <c r="H20" s="578"/>
      <c r="I20" s="576"/>
      <c r="J20" s="576"/>
      <c r="K20" s="576"/>
      <c r="L20" s="576"/>
      <c r="M20" s="576"/>
      <c r="N20" s="576"/>
      <c r="O20" s="576"/>
      <c r="P20" s="576"/>
    </row>
    <row r="21" spans="1:16" s="471" customFormat="1" ht="16.5">
      <c r="B21" s="471" t="s">
        <v>233</v>
      </c>
      <c r="C21" s="472"/>
      <c r="D21" s="378"/>
      <c r="E21" s="379"/>
      <c r="F21" s="573"/>
      <c r="G21" s="573"/>
      <c r="H21" s="577"/>
      <c r="I21" s="577"/>
      <c r="J21" s="577"/>
      <c r="K21" s="577"/>
      <c r="L21" s="577"/>
      <c r="M21" s="577"/>
      <c r="N21" s="577"/>
      <c r="O21" s="577"/>
      <c r="P21" s="577"/>
    </row>
    <row r="22" spans="1:16" s="471" customFormat="1" ht="16.5">
      <c r="C22" s="472" t="s">
        <v>234</v>
      </c>
      <c r="D22" s="472"/>
      <c r="E22" s="379"/>
      <c r="F22" s="573"/>
      <c r="G22" s="573"/>
      <c r="H22" s="573"/>
      <c r="I22" s="573"/>
      <c r="J22" s="573"/>
      <c r="K22" s="573"/>
      <c r="L22" s="573"/>
      <c r="M22" s="573"/>
      <c r="N22" s="573"/>
      <c r="O22" s="573"/>
      <c r="P22" s="573"/>
    </row>
    <row r="23" spans="1:16" s="471" customFormat="1" ht="16.5">
      <c r="C23" s="472" t="s">
        <v>296</v>
      </c>
      <c r="D23" s="376" t="s">
        <v>222</v>
      </c>
      <c r="E23" s="379" t="s">
        <v>194</v>
      </c>
      <c r="F23" s="573"/>
      <c r="G23" s="573"/>
      <c r="H23" s="573"/>
      <c r="I23" s="573"/>
      <c r="J23" s="573"/>
      <c r="K23" s="573"/>
      <c r="L23" s="573"/>
      <c r="M23" s="573"/>
      <c r="N23" s="573"/>
      <c r="O23" s="573"/>
      <c r="P23" s="573"/>
    </row>
    <row r="24" spans="1:16" s="471" customFormat="1" ht="16.5">
      <c r="C24" s="573"/>
      <c r="D24" s="573"/>
      <c r="E24" s="60" t="s">
        <v>195</v>
      </c>
      <c r="F24" s="573"/>
      <c r="G24" s="573"/>
      <c r="H24" s="573"/>
      <c r="I24" s="573"/>
      <c r="J24" s="573"/>
      <c r="K24" s="573"/>
      <c r="L24" s="573"/>
      <c r="M24" s="573"/>
      <c r="N24" s="573"/>
      <c r="O24" s="573"/>
      <c r="P24" s="573"/>
    </row>
    <row r="25" spans="1:16" s="471" customFormat="1" ht="16.5">
      <c r="E25" s="61"/>
    </row>
    <row r="26" spans="1:16" s="471" customFormat="1" ht="16.5">
      <c r="E26" s="61"/>
    </row>
    <row r="27" spans="1:16" s="471" customFormat="1" ht="16.5">
      <c r="E27" s="61"/>
    </row>
    <row r="28" spans="1:16" s="471" customFormat="1" ht="16.5">
      <c r="E28" s="61"/>
    </row>
    <row r="29" spans="1:16" s="471" customFormat="1" ht="16.5">
      <c r="E29" s="61"/>
    </row>
    <row r="30" spans="1:16" s="471" customFormat="1" ht="16.5">
      <c r="E30" s="61"/>
    </row>
    <row r="31" spans="1:16" s="471" customFormat="1" ht="16.5">
      <c r="E31" s="61"/>
    </row>
    <row r="32" spans="1:16" s="471" customFormat="1" ht="16.5">
      <c r="E32" s="61"/>
    </row>
    <row r="33" spans="5:5" s="471" customFormat="1" ht="16.5">
      <c r="E33" s="61"/>
    </row>
    <row r="34" spans="5:5" s="471" customFormat="1" ht="16.5">
      <c r="E34" s="61"/>
    </row>
    <row r="35" spans="5:5" s="471" customFormat="1" ht="16.5">
      <c r="E35" s="61"/>
    </row>
    <row r="36" spans="5:5" s="471" customFormat="1" ht="16.5">
      <c r="E36" s="61"/>
    </row>
    <row r="37" spans="5:5" s="471" customFormat="1" ht="16.5">
      <c r="E37" s="61"/>
    </row>
    <row r="38" spans="5:5" s="471" customFormat="1" ht="16.5">
      <c r="E38" s="61"/>
    </row>
    <row r="39" spans="5:5" s="471" customFormat="1" ht="16.5">
      <c r="E39" s="61"/>
    </row>
    <row r="40" spans="5:5" s="471" customFormat="1" ht="16.5">
      <c r="E40" s="61"/>
    </row>
    <row r="41" spans="5:5" s="471" customFormat="1" ht="16.5">
      <c r="E41" s="61"/>
    </row>
    <row r="42" spans="5:5" s="471" customFormat="1" ht="16.5">
      <c r="E42" s="61"/>
    </row>
    <row r="43" spans="5:5" s="471" customFormat="1" ht="16.5">
      <c r="E43" s="61"/>
    </row>
    <row r="44" spans="5:5" s="471" customFormat="1" ht="16.5">
      <c r="E44" s="61"/>
    </row>
    <row r="45" spans="5:5" s="471" customFormat="1" ht="16.5">
      <c r="E45" s="61"/>
    </row>
    <row r="46" spans="5:5" s="471" customFormat="1" ht="16.5">
      <c r="E46" s="61"/>
    </row>
    <row r="47" spans="5:5" s="471" customFormat="1" ht="16.5">
      <c r="E47" s="61"/>
    </row>
    <row r="48" spans="5:5" s="471" customFormat="1" ht="16.5">
      <c r="E48" s="61"/>
    </row>
    <row r="49" spans="5:5" s="471" customFormat="1" ht="16.5">
      <c r="E49" s="61"/>
    </row>
    <row r="50" spans="5:5" s="471" customFormat="1" ht="16.5">
      <c r="E50" s="61"/>
    </row>
    <row r="51" spans="5:5" s="471" customFormat="1" ht="16.5">
      <c r="E51" s="61"/>
    </row>
    <row r="52" spans="5:5" s="471" customFormat="1" ht="16.5">
      <c r="E52" s="61"/>
    </row>
    <row r="53" spans="5:5" s="471" customFormat="1" ht="16.5">
      <c r="E53" s="61"/>
    </row>
    <row r="54" spans="5:5" s="471" customFormat="1" ht="16.5">
      <c r="E54" s="61"/>
    </row>
    <row r="55" spans="5:5" s="471" customFormat="1" ht="16.5">
      <c r="E55" s="61"/>
    </row>
    <row r="56" spans="5:5" s="471" customFormat="1" ht="16.5">
      <c r="E56" s="61"/>
    </row>
    <row r="57" spans="5:5" s="471" customFormat="1" ht="16.5">
      <c r="E57" s="61"/>
    </row>
    <row r="58" spans="5:5" s="471" customFormat="1" ht="16.5">
      <c r="E58" s="61"/>
    </row>
    <row r="59" spans="5:5" s="471" customFormat="1" ht="16.5">
      <c r="E59" s="61"/>
    </row>
    <row r="60" spans="5:5" s="471" customFormat="1" ht="16.5">
      <c r="E60" s="61"/>
    </row>
    <row r="61" spans="5:5" s="471" customFormat="1" ht="16.5">
      <c r="E61" s="61"/>
    </row>
    <row r="62" spans="5:5" s="471" customFormat="1" ht="16.5">
      <c r="E62" s="6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tabSelected="1" showOutlineSymbols="0" view="pageBreakPreview" zoomScaleSheetLayoutView="100" workbookViewId="0">
      <pane xSplit="2" ySplit="13" topLeftCell="C14" activePane="bottomRight" state="frozen"/>
      <selection activeCell="M12" sqref="M12:M15"/>
      <selection pane="topRight" activeCell="M12" sqref="M12:M15"/>
      <selection pane="bottomLeft" activeCell="M12" sqref="M12:M15"/>
      <selection pane="bottomRight" activeCell="N20" sqref="N2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" width="8.42578125" style="3" bestFit="1" customWidth="1"/>
    <col min="17" max="16384" width="6.85546875" style="3"/>
  </cols>
  <sheetData>
    <row r="1" spans="1:18" ht="19.5">
      <c r="A1" s="720" t="str">
        <f>封面!$A$4</f>
        <v>彰化縣地方教育發展基金－彰化縣秀水鄉馬興國民小學</v>
      </c>
      <c r="B1" s="720"/>
      <c r="C1" s="720"/>
      <c r="D1" s="720"/>
      <c r="E1" s="720"/>
      <c r="F1" s="720"/>
      <c r="G1" s="720"/>
      <c r="H1" s="720"/>
      <c r="I1" s="627"/>
      <c r="J1" s="627"/>
      <c r="K1" s="627"/>
      <c r="L1" s="627"/>
      <c r="M1" s="627"/>
      <c r="N1" s="627"/>
    </row>
    <row r="2" spans="1:18" ht="19.5" hidden="1" customHeight="1">
      <c r="A2" s="326"/>
      <c r="B2" s="326"/>
      <c r="C2" s="326"/>
      <c r="D2" s="326"/>
      <c r="E2" s="326"/>
      <c r="F2" s="326"/>
      <c r="G2" s="326"/>
      <c r="H2" s="326"/>
    </row>
    <row r="3" spans="1:18" ht="14.25" hidden="1" customHeight="1"/>
    <row r="4" spans="1:18" ht="19.899999999999999" customHeight="1">
      <c r="A4" s="736" t="s">
        <v>311</v>
      </c>
      <c r="B4" s="736"/>
      <c r="C4" s="736"/>
      <c r="D4" s="736"/>
      <c r="E4" s="736"/>
      <c r="F4" s="736"/>
      <c r="G4" s="736"/>
      <c r="H4" s="736"/>
      <c r="I4" s="627"/>
      <c r="J4" s="627"/>
      <c r="K4" s="627"/>
      <c r="L4" s="627"/>
      <c r="M4" s="627"/>
      <c r="N4" s="627"/>
    </row>
    <row r="5" spans="1:18" ht="6.75" customHeight="1"/>
    <row r="6" spans="1:18" ht="16.5">
      <c r="A6" s="721" t="str">
        <f>封面!$E$10&amp;封面!$H$10&amp;封面!$I$10&amp;封面!$J$10&amp;封面!$K$10&amp;封面!$O$10&amp;"日"</f>
        <v>中華民國112年9月30日</v>
      </c>
      <c r="B6" s="721"/>
      <c r="C6" s="721"/>
      <c r="D6" s="721"/>
      <c r="E6" s="721"/>
      <c r="F6" s="721"/>
      <c r="G6" s="721"/>
      <c r="H6" s="721"/>
      <c r="I6" s="627"/>
      <c r="J6" s="627"/>
      <c r="K6" s="627"/>
      <c r="L6" s="627"/>
      <c r="M6" s="627"/>
      <c r="N6" s="627"/>
    </row>
    <row r="7" spans="1:18" ht="16.5">
      <c r="A7" s="659" t="s">
        <v>39</v>
      </c>
      <c r="B7" s="659"/>
      <c r="C7" s="659"/>
      <c r="D7" s="659"/>
      <c r="E7" s="659"/>
      <c r="F7" s="659"/>
      <c r="G7" s="659"/>
      <c r="H7" s="659"/>
      <c r="I7" s="627"/>
      <c r="J7" s="627"/>
      <c r="K7" s="627"/>
      <c r="L7" s="627"/>
      <c r="M7" s="627"/>
      <c r="N7" s="627"/>
    </row>
    <row r="8" spans="1:18" ht="6" hidden="1" customHeight="1"/>
    <row r="9" spans="1:18" s="338" customFormat="1" ht="21" customHeight="1">
      <c r="A9" s="793" t="s">
        <v>308</v>
      </c>
      <c r="B9" s="794"/>
      <c r="C9" s="794"/>
      <c r="D9" s="794"/>
      <c r="E9" s="794"/>
      <c r="F9" s="793" t="s">
        <v>198</v>
      </c>
      <c r="G9" s="794"/>
      <c r="H9" s="794"/>
      <c r="I9" s="794"/>
      <c r="J9" s="794"/>
      <c r="K9" s="794"/>
      <c r="L9" s="794"/>
      <c r="M9" s="794"/>
      <c r="N9" s="794"/>
      <c r="O9" s="337"/>
      <c r="P9" s="337"/>
      <c r="Q9" s="337"/>
      <c r="R9" s="337"/>
    </row>
    <row r="10" spans="1:18" s="338" customFormat="1" ht="21" customHeight="1">
      <c r="A10" s="794"/>
      <c r="B10" s="794"/>
      <c r="C10" s="794"/>
      <c r="D10" s="794"/>
      <c r="E10" s="794"/>
      <c r="F10" s="790" t="s">
        <v>309</v>
      </c>
      <c r="G10" s="791"/>
      <c r="H10" s="791"/>
      <c r="I10" s="792"/>
      <c r="J10" s="797" t="s">
        <v>310</v>
      </c>
      <c r="K10" s="797"/>
      <c r="L10" s="797"/>
      <c r="M10" s="797"/>
      <c r="N10" s="797"/>
    </row>
    <row r="11" spans="1:18" s="331" customFormat="1" ht="12.75" hidden="1" customHeight="1">
      <c r="A11" s="339"/>
      <c r="B11" s="340"/>
      <c r="C11" s="340"/>
      <c r="D11" s="340"/>
      <c r="E11" s="340"/>
      <c r="F11" s="7"/>
      <c r="G11" s="7"/>
      <c r="H11" s="329"/>
      <c r="I11" s="336"/>
      <c r="J11" s="341"/>
      <c r="K11" s="341"/>
      <c r="L11" s="341"/>
      <c r="M11" s="341"/>
      <c r="N11" s="342"/>
    </row>
    <row r="12" spans="1:18" s="331" customFormat="1" ht="12.75" hidden="1" customHeight="1">
      <c r="A12" s="339"/>
      <c r="B12" s="340"/>
      <c r="C12" s="340"/>
      <c r="D12" s="340"/>
      <c r="E12" s="340"/>
      <c r="F12" s="7"/>
      <c r="G12" s="7"/>
      <c r="H12" s="14"/>
      <c r="I12" s="14"/>
      <c r="J12" s="341"/>
      <c r="K12" s="341"/>
      <c r="L12" s="341"/>
      <c r="M12" s="341"/>
      <c r="N12" s="342"/>
    </row>
    <row r="13" spans="1:18" s="331" customFormat="1" ht="9" hidden="1" customHeight="1">
      <c r="A13" s="339"/>
      <c r="B13" s="340"/>
      <c r="C13" s="380"/>
      <c r="D13" s="380"/>
      <c r="E13" s="380"/>
      <c r="F13" s="7"/>
      <c r="G13" s="7"/>
      <c r="H13" s="11"/>
      <c r="I13" s="11"/>
      <c r="J13" s="341"/>
      <c r="K13" s="341"/>
      <c r="L13" s="341"/>
      <c r="M13" s="341"/>
      <c r="N13" s="342"/>
    </row>
    <row r="14" spans="1:18" s="511" customFormat="1" ht="14.85" customHeight="1">
      <c r="A14" s="795" t="s">
        <v>395</v>
      </c>
      <c r="B14" s="796"/>
      <c r="C14" s="796"/>
      <c r="D14" s="796"/>
      <c r="E14" s="504"/>
      <c r="F14" s="505"/>
      <c r="G14" s="506"/>
      <c r="H14" s="506"/>
      <c r="I14" s="507">
        <f>SUM(I15:I25)/2</f>
        <v>2369229</v>
      </c>
      <c r="J14" s="508"/>
      <c r="K14" s="509"/>
      <c r="L14" s="509"/>
      <c r="M14" s="510"/>
      <c r="N14" s="507">
        <f>I14+[3]收支!N14</f>
        <v>35488939</v>
      </c>
    </row>
    <row r="15" spans="1:18" s="511" customFormat="1" ht="14.85" customHeight="1">
      <c r="A15" s="512"/>
      <c r="B15" s="788" t="s">
        <v>396</v>
      </c>
      <c r="C15" s="788"/>
      <c r="D15" s="788"/>
      <c r="E15" s="789"/>
      <c r="F15" s="513"/>
      <c r="G15" s="514"/>
      <c r="H15" s="514"/>
      <c r="I15" s="515">
        <f>I16</f>
        <v>0</v>
      </c>
      <c r="J15" s="516"/>
      <c r="K15" s="517"/>
      <c r="L15" s="517"/>
      <c r="M15" s="518"/>
      <c r="N15" s="515">
        <f>I15+[3]收支!N15</f>
        <v>5923</v>
      </c>
    </row>
    <row r="16" spans="1:18" s="468" customFormat="1" ht="14.85" customHeight="1">
      <c r="A16" s="467"/>
      <c r="B16" s="462"/>
      <c r="C16" s="463" t="s">
        <v>397</v>
      </c>
      <c r="D16" s="463"/>
      <c r="E16" s="464"/>
      <c r="F16" s="422"/>
      <c r="G16" s="423"/>
      <c r="H16" s="423"/>
      <c r="I16" s="441"/>
      <c r="J16" s="442"/>
      <c r="K16" s="443"/>
      <c r="L16" s="443"/>
      <c r="M16" s="444"/>
      <c r="N16" s="441">
        <f>I16+[3]收支!N16</f>
        <v>5923</v>
      </c>
    </row>
    <row r="17" spans="1:16" s="511" customFormat="1" ht="14.85" customHeight="1">
      <c r="A17" s="519"/>
      <c r="B17" s="788" t="s">
        <v>329</v>
      </c>
      <c r="C17" s="788"/>
      <c r="D17" s="788"/>
      <c r="E17" s="789"/>
      <c r="F17" s="513"/>
      <c r="G17" s="514"/>
      <c r="H17" s="514"/>
      <c r="I17" s="515">
        <f>SUM(I18:I21)</f>
        <v>18229</v>
      </c>
      <c r="J17" s="516"/>
      <c r="K17" s="517"/>
      <c r="L17" s="517"/>
      <c r="M17" s="518"/>
      <c r="N17" s="515">
        <f>I17+[3]收支!N17</f>
        <v>4528156</v>
      </c>
    </row>
    <row r="18" spans="1:16" s="541" customFormat="1" ht="14.85" hidden="1" customHeight="1">
      <c r="A18" s="532"/>
      <c r="B18" s="533"/>
      <c r="C18" s="463" t="s">
        <v>444</v>
      </c>
      <c r="D18" s="533"/>
      <c r="E18" s="534"/>
      <c r="F18" s="535"/>
      <c r="G18" s="536"/>
      <c r="H18" s="536"/>
      <c r="I18" s="537"/>
      <c r="J18" s="538"/>
      <c r="K18" s="539"/>
      <c r="L18" s="539"/>
      <c r="M18" s="540"/>
      <c r="N18" s="441">
        <f>I18+[3]收支!N18</f>
        <v>0</v>
      </c>
    </row>
    <row r="19" spans="1:16" s="468" customFormat="1" ht="14.85" hidden="1" customHeight="1">
      <c r="A19" s="432"/>
      <c r="B19" s="462"/>
      <c r="C19" s="463" t="s">
        <v>398</v>
      </c>
      <c r="D19" s="463"/>
      <c r="E19" s="464"/>
      <c r="F19" s="422"/>
      <c r="G19" s="423"/>
      <c r="H19" s="423"/>
      <c r="I19" s="441"/>
      <c r="J19" s="442"/>
      <c r="K19" s="443"/>
      <c r="L19" s="443"/>
      <c r="M19" s="444"/>
      <c r="N19" s="441">
        <f>I19+[3]收支!N19</f>
        <v>0</v>
      </c>
    </row>
    <row r="20" spans="1:16" s="468" customFormat="1" ht="14.85" customHeight="1">
      <c r="A20" s="432"/>
      <c r="B20" s="462"/>
      <c r="C20" s="463" t="s">
        <v>399</v>
      </c>
      <c r="D20" s="463"/>
      <c r="E20" s="464"/>
      <c r="F20" s="422"/>
      <c r="G20" s="423"/>
      <c r="H20" s="423"/>
      <c r="I20" s="441"/>
      <c r="J20" s="442"/>
      <c r="K20" s="443"/>
      <c r="L20" s="443"/>
      <c r="M20" s="444"/>
      <c r="N20" s="441">
        <f>I20+[3]收支!N20</f>
        <v>2244385</v>
      </c>
      <c r="O20" s="468">
        <v>2244385</v>
      </c>
      <c r="P20" s="468">
        <f>N20-O20</f>
        <v>0</v>
      </c>
    </row>
    <row r="21" spans="1:16" s="468" customFormat="1" ht="14.85" customHeight="1">
      <c r="A21" s="432"/>
      <c r="B21" s="462"/>
      <c r="C21" s="463" t="s">
        <v>400</v>
      </c>
      <c r="D21" s="463"/>
      <c r="E21" s="464"/>
      <c r="F21" s="422"/>
      <c r="G21" s="423"/>
      <c r="H21" s="423"/>
      <c r="I21" s="441">
        <v>18229</v>
      </c>
      <c r="J21" s="442"/>
      <c r="K21" s="443"/>
      <c r="L21" s="443"/>
      <c r="M21" s="444"/>
      <c r="N21" s="441">
        <f>I21+[3]收支!N21</f>
        <v>2283771</v>
      </c>
      <c r="O21" s="468">
        <v>2283771</v>
      </c>
      <c r="P21" s="468">
        <f>N21-O21</f>
        <v>0</v>
      </c>
    </row>
    <row r="22" spans="1:16" s="521" customFormat="1" ht="14.85" customHeight="1">
      <c r="A22" s="520"/>
      <c r="B22" s="788" t="s">
        <v>401</v>
      </c>
      <c r="C22" s="788"/>
      <c r="D22" s="788"/>
      <c r="E22" s="789"/>
      <c r="F22" s="513"/>
      <c r="G22" s="514"/>
      <c r="H22" s="514"/>
      <c r="I22" s="515">
        <f>I23</f>
        <v>2351000</v>
      </c>
      <c r="J22" s="516"/>
      <c r="K22" s="517"/>
      <c r="L22" s="517"/>
      <c r="M22" s="518"/>
      <c r="N22" s="515">
        <f>I22+[3]收支!N22</f>
        <v>30954013</v>
      </c>
    </row>
    <row r="23" spans="1:16" s="469" customFormat="1" ht="14.85" customHeight="1">
      <c r="A23" s="433"/>
      <c r="B23" s="436"/>
      <c r="C23" s="437" t="s">
        <v>402</v>
      </c>
      <c r="D23" s="437"/>
      <c r="E23" s="438"/>
      <c r="F23" s="433"/>
      <c r="G23" s="434"/>
      <c r="H23" s="434"/>
      <c r="I23" s="439">
        <v>2351000</v>
      </c>
      <c r="J23" s="432"/>
      <c r="K23" s="436"/>
      <c r="L23" s="436"/>
      <c r="M23" s="440"/>
      <c r="N23" s="439">
        <f>I23+[3]收支!N23</f>
        <v>30954013</v>
      </c>
    </row>
    <row r="24" spans="1:16" s="521" customFormat="1" ht="14.85" customHeight="1">
      <c r="A24" s="520"/>
      <c r="B24" s="522" t="s">
        <v>403</v>
      </c>
      <c r="C24" s="523"/>
      <c r="D24" s="523"/>
      <c r="E24" s="524"/>
      <c r="F24" s="520"/>
      <c r="G24" s="525"/>
      <c r="H24" s="525"/>
      <c r="I24" s="526">
        <f>I25</f>
        <v>0</v>
      </c>
      <c r="J24" s="519"/>
      <c r="K24" s="522"/>
      <c r="L24" s="522"/>
      <c r="M24" s="527"/>
      <c r="N24" s="526">
        <f>I24+[3]收支!N24</f>
        <v>847</v>
      </c>
    </row>
    <row r="25" spans="1:16" s="469" customFormat="1" ht="14.85" customHeight="1">
      <c r="A25" s="433"/>
      <c r="B25" s="436"/>
      <c r="C25" s="437" t="s">
        <v>404</v>
      </c>
      <c r="D25" s="437"/>
      <c r="E25" s="438"/>
      <c r="F25" s="433"/>
      <c r="G25" s="434"/>
      <c r="H25" s="434"/>
      <c r="I25" s="439"/>
      <c r="J25" s="432"/>
      <c r="K25" s="436"/>
      <c r="L25" s="436"/>
      <c r="M25" s="440"/>
      <c r="N25" s="439">
        <f>I25+[3]收支!N25</f>
        <v>847</v>
      </c>
    </row>
    <row r="26" spans="1:16" s="521" customFormat="1" ht="14.85" customHeight="1">
      <c r="A26" s="802" t="s">
        <v>330</v>
      </c>
      <c r="B26" s="788"/>
      <c r="C26" s="788"/>
      <c r="D26" s="788"/>
      <c r="E26" s="528"/>
      <c r="F26" s="513"/>
      <c r="G26" s="514"/>
      <c r="H26" s="514"/>
      <c r="I26" s="515">
        <f>SUM(I27:I36)/2</f>
        <v>2818726</v>
      </c>
      <c r="J26" s="516"/>
      <c r="K26" s="517"/>
      <c r="L26" s="517"/>
      <c r="M26" s="518"/>
      <c r="N26" s="515">
        <f>I26+[3]收支!N26</f>
        <v>31762032</v>
      </c>
    </row>
    <row r="27" spans="1:16" s="521" customFormat="1" ht="14.85" customHeight="1">
      <c r="A27" s="520"/>
      <c r="B27" s="788" t="s">
        <v>405</v>
      </c>
      <c r="C27" s="788"/>
      <c r="D27" s="788"/>
      <c r="E27" s="789"/>
      <c r="F27" s="513"/>
      <c r="G27" s="514"/>
      <c r="H27" s="514"/>
      <c r="I27" s="515">
        <f>I28</f>
        <v>2417874</v>
      </c>
      <c r="J27" s="516"/>
      <c r="K27" s="517"/>
      <c r="L27" s="517"/>
      <c r="M27" s="518"/>
      <c r="N27" s="515">
        <f>I27+[3]收支!N27</f>
        <v>28141899</v>
      </c>
    </row>
    <row r="28" spans="1:16" s="469" customFormat="1" ht="14.85" customHeight="1">
      <c r="A28" s="433"/>
      <c r="B28" s="462"/>
      <c r="C28" s="463" t="s">
        <v>405</v>
      </c>
      <c r="D28" s="463"/>
      <c r="E28" s="464"/>
      <c r="F28" s="422"/>
      <c r="G28" s="423"/>
      <c r="H28" s="423"/>
      <c r="I28" s="441">
        <v>2417874</v>
      </c>
      <c r="J28" s="442"/>
      <c r="K28" s="443"/>
      <c r="L28" s="443"/>
      <c r="M28" s="444"/>
      <c r="N28" s="441">
        <f>I28+[3]收支!N28</f>
        <v>28141899</v>
      </c>
    </row>
    <row r="29" spans="1:16" s="521" customFormat="1" ht="14.85" customHeight="1">
      <c r="A29" s="520"/>
      <c r="B29" s="788" t="s">
        <v>406</v>
      </c>
      <c r="C29" s="788"/>
      <c r="D29" s="788"/>
      <c r="E29" s="789"/>
      <c r="F29" s="513"/>
      <c r="G29" s="514"/>
      <c r="H29" s="514"/>
      <c r="I29" s="515">
        <f>I30</f>
        <v>89188</v>
      </c>
      <c r="J29" s="516"/>
      <c r="K29" s="517"/>
      <c r="L29" s="517"/>
      <c r="M29" s="518"/>
      <c r="N29" s="515">
        <f>I29+[3]收支!N29</f>
        <v>1149929</v>
      </c>
    </row>
    <row r="30" spans="1:16" s="469" customFormat="1" ht="14.85" customHeight="1">
      <c r="A30" s="433"/>
      <c r="B30" s="462"/>
      <c r="C30" s="463" t="s">
        <v>406</v>
      </c>
      <c r="D30" s="463"/>
      <c r="E30" s="464"/>
      <c r="F30" s="422"/>
      <c r="G30" s="423"/>
      <c r="H30" s="423"/>
      <c r="I30" s="441">
        <v>89188</v>
      </c>
      <c r="J30" s="442"/>
      <c r="K30" s="443"/>
      <c r="L30" s="443"/>
      <c r="M30" s="444"/>
      <c r="N30" s="441">
        <f>I30+[3]收支!N30</f>
        <v>1149929</v>
      </c>
    </row>
    <row r="31" spans="1:16" s="521" customFormat="1" ht="14.85" customHeight="1">
      <c r="A31" s="520"/>
      <c r="B31" s="529" t="s">
        <v>407</v>
      </c>
      <c r="C31" s="530"/>
      <c r="D31" s="530"/>
      <c r="E31" s="531"/>
      <c r="F31" s="513"/>
      <c r="G31" s="514"/>
      <c r="H31" s="514"/>
      <c r="I31" s="515">
        <f>I32</f>
        <v>440</v>
      </c>
      <c r="J31" s="516"/>
      <c r="K31" s="517"/>
      <c r="L31" s="517"/>
      <c r="M31" s="518"/>
      <c r="N31" s="515">
        <f>I31+[3]收支!N31</f>
        <v>1089</v>
      </c>
    </row>
    <row r="32" spans="1:16" s="469" customFormat="1" ht="14.85" customHeight="1">
      <c r="A32" s="433"/>
      <c r="B32" s="462"/>
      <c r="C32" s="463" t="s">
        <v>408</v>
      </c>
      <c r="D32" s="463"/>
      <c r="E32" s="464"/>
      <c r="F32" s="422"/>
      <c r="G32" s="423"/>
      <c r="H32" s="423"/>
      <c r="I32" s="441">
        <v>440</v>
      </c>
      <c r="J32" s="442"/>
      <c r="K32" s="443"/>
      <c r="L32" s="443"/>
      <c r="M32" s="444"/>
      <c r="N32" s="441">
        <f>I32+[3]收支!N32</f>
        <v>1089</v>
      </c>
    </row>
    <row r="33" spans="1:14" s="521" customFormat="1" ht="14.85" customHeight="1">
      <c r="A33" s="520"/>
      <c r="B33" s="788" t="s">
        <v>409</v>
      </c>
      <c r="C33" s="788"/>
      <c r="D33" s="788"/>
      <c r="E33" s="789"/>
      <c r="F33" s="513"/>
      <c r="G33" s="514"/>
      <c r="H33" s="514"/>
      <c r="I33" s="515">
        <f>I34</f>
        <v>311224</v>
      </c>
      <c r="J33" s="516"/>
      <c r="K33" s="517"/>
      <c r="L33" s="517"/>
      <c r="M33" s="518"/>
      <c r="N33" s="515">
        <f>I33+[3]收支!N33</f>
        <v>2468795</v>
      </c>
    </row>
    <row r="34" spans="1:14" s="469" customFormat="1" ht="14.85" customHeight="1">
      <c r="A34" s="433"/>
      <c r="B34" s="436"/>
      <c r="C34" s="437" t="s">
        <v>410</v>
      </c>
      <c r="D34" s="437"/>
      <c r="E34" s="438"/>
      <c r="F34" s="433"/>
      <c r="G34" s="434"/>
      <c r="H34" s="434"/>
      <c r="I34" s="441">
        <v>311224</v>
      </c>
      <c r="J34" s="432"/>
      <c r="K34" s="436"/>
      <c r="L34" s="436"/>
      <c r="M34" s="440"/>
      <c r="N34" s="441">
        <f>I34+[3]收支!N34</f>
        <v>2468795</v>
      </c>
    </row>
    <row r="35" spans="1:14" s="521" customFormat="1" ht="14.85" customHeight="1">
      <c r="A35" s="520"/>
      <c r="B35" s="522" t="s">
        <v>411</v>
      </c>
      <c r="C35" s="523"/>
      <c r="D35" s="523"/>
      <c r="E35" s="524"/>
      <c r="F35" s="520"/>
      <c r="G35" s="525"/>
      <c r="H35" s="525"/>
      <c r="I35" s="515">
        <f>I36</f>
        <v>0</v>
      </c>
      <c r="J35" s="519"/>
      <c r="K35" s="522"/>
      <c r="L35" s="522"/>
      <c r="M35" s="527"/>
      <c r="N35" s="515">
        <f>I35+[3]收支!N35</f>
        <v>320</v>
      </c>
    </row>
    <row r="36" spans="1:14" s="469" customFormat="1" ht="14.85" customHeight="1">
      <c r="A36" s="433"/>
      <c r="B36" s="436"/>
      <c r="C36" s="437" t="s">
        <v>411</v>
      </c>
      <c r="D36" s="437"/>
      <c r="E36" s="438"/>
      <c r="F36" s="433"/>
      <c r="G36" s="434"/>
      <c r="H36" s="434"/>
      <c r="I36" s="441"/>
      <c r="J36" s="432"/>
      <c r="K36" s="436"/>
      <c r="L36" s="436"/>
      <c r="M36" s="440"/>
      <c r="N36" s="441">
        <f>I36+[3]收支!N36</f>
        <v>320</v>
      </c>
    </row>
    <row r="37" spans="1:14" s="521" customFormat="1" ht="14.85" customHeight="1">
      <c r="A37" s="803" t="s">
        <v>412</v>
      </c>
      <c r="B37" s="804"/>
      <c r="C37" s="805"/>
      <c r="D37" s="805"/>
      <c r="E37" s="528"/>
      <c r="F37" s="513"/>
      <c r="G37" s="514"/>
      <c r="H37" s="514"/>
      <c r="I37" s="515">
        <f>I14-I26</f>
        <v>-449497</v>
      </c>
      <c r="J37" s="516"/>
      <c r="K37" s="517"/>
      <c r="L37" s="517"/>
      <c r="M37" s="518"/>
      <c r="N37" s="515">
        <f>I37+[3]收支!N37</f>
        <v>3726907</v>
      </c>
    </row>
    <row r="38" spans="1:14" s="469" customFormat="1" ht="14.85" customHeight="1">
      <c r="A38" s="798" t="s">
        <v>331</v>
      </c>
      <c r="B38" s="799"/>
      <c r="C38" s="799"/>
      <c r="D38" s="799"/>
      <c r="E38" s="435"/>
      <c r="F38" s="345"/>
      <c r="G38" s="346"/>
      <c r="H38" s="347"/>
      <c r="I38" s="441"/>
      <c r="J38" s="442"/>
      <c r="K38" s="443"/>
      <c r="L38" s="443"/>
      <c r="M38" s="444"/>
      <c r="N38" s="562">
        <f>I38+[4]收支!N40</f>
        <v>42779832</v>
      </c>
    </row>
    <row r="39" spans="1:14" s="469" customFormat="1" ht="14.85" customHeight="1">
      <c r="A39" s="798" t="s">
        <v>332</v>
      </c>
      <c r="B39" s="799"/>
      <c r="C39" s="799"/>
      <c r="D39" s="799"/>
      <c r="E39" s="435"/>
      <c r="F39" s="348"/>
      <c r="G39" s="346"/>
      <c r="H39" s="349"/>
      <c r="I39" s="441"/>
      <c r="J39" s="432"/>
      <c r="K39" s="436"/>
      <c r="L39" s="436"/>
      <c r="M39" s="440"/>
      <c r="N39" s="441">
        <f>I39+[4]收支!N39</f>
        <v>0</v>
      </c>
    </row>
    <row r="40" spans="1:14" s="503" customFormat="1" ht="14.85" customHeight="1">
      <c r="A40" s="800" t="s">
        <v>413</v>
      </c>
      <c r="B40" s="801"/>
      <c r="C40" s="801"/>
      <c r="D40" s="801"/>
      <c r="E40" s="495"/>
      <c r="F40" s="496"/>
      <c r="G40" s="497"/>
      <c r="H40" s="498"/>
      <c r="I40" s="499">
        <f>I37+I38-I39</f>
        <v>-449497</v>
      </c>
      <c r="J40" s="500"/>
      <c r="K40" s="501"/>
      <c r="L40" s="501"/>
      <c r="M40" s="502"/>
      <c r="N40" s="499">
        <f>N37+N38-N39</f>
        <v>46506739</v>
      </c>
    </row>
    <row r="41" spans="1:14" s="468" customFormat="1" ht="12.75" hidden="1" customHeight="1">
      <c r="A41" s="350"/>
      <c r="B41" s="350"/>
      <c r="C41" s="350"/>
      <c r="D41" s="350"/>
      <c r="E41" s="469"/>
      <c r="F41" s="469"/>
      <c r="G41" s="469"/>
      <c r="H41" s="469"/>
      <c r="I41" s="469">
        <v>0</v>
      </c>
    </row>
    <row r="42" spans="1:14" s="469" customFormat="1" ht="16.5">
      <c r="A42" s="350" t="s">
        <v>414</v>
      </c>
      <c r="B42" s="350"/>
      <c r="C42" s="350" t="s">
        <v>465</v>
      </c>
      <c r="D42" s="350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M12" sqref="M12:M15"/>
      <selection pane="topRight" activeCell="M12" sqref="M12:M15"/>
      <selection pane="bottomLeft" activeCell="M12" sqref="M12:M15"/>
      <selection pane="bottomRight" activeCell="M12" sqref="M12:M15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20" t="str">
        <f>封面!$A$4</f>
        <v>彰化縣地方教育發展基金－彰化縣秀水鄉馬興國民小學</v>
      </c>
      <c r="B1" s="720"/>
      <c r="C1" s="720"/>
      <c r="D1" s="720"/>
      <c r="E1" s="720"/>
      <c r="F1" s="720"/>
      <c r="G1" s="627"/>
      <c r="H1" s="627"/>
      <c r="I1" s="627"/>
    </row>
    <row r="2" spans="1:10" ht="19.5" hidden="1" customHeight="1">
      <c r="A2" s="326"/>
      <c r="B2" s="326"/>
      <c r="C2" s="326"/>
      <c r="D2" s="326"/>
      <c r="E2" s="326"/>
      <c r="F2" s="326"/>
    </row>
    <row r="3" spans="1:10" ht="14.25" hidden="1" customHeight="1"/>
    <row r="4" spans="1:10" ht="21">
      <c r="A4" s="736" t="s">
        <v>312</v>
      </c>
      <c r="B4" s="736"/>
      <c r="C4" s="736"/>
      <c r="D4" s="736"/>
      <c r="E4" s="736"/>
      <c r="F4" s="736"/>
      <c r="G4" s="627"/>
      <c r="H4" s="627"/>
      <c r="I4" s="627"/>
    </row>
    <row r="5" spans="1:10" ht="6.75" customHeight="1"/>
    <row r="6" spans="1:10" ht="16.5">
      <c r="A6" s="721" t="str">
        <f>封面!$E$10&amp;封面!$H$10&amp;封面!$I$10&amp;封面!$J$10&amp;封面!$K$10&amp;封面!L10</f>
        <v>中華民國112年9月份</v>
      </c>
      <c r="B6" s="721"/>
      <c r="C6" s="721"/>
      <c r="D6" s="721"/>
      <c r="E6" s="721"/>
      <c r="F6" s="721"/>
      <c r="G6" s="627"/>
      <c r="H6" s="627"/>
      <c r="I6" s="627"/>
    </row>
    <row r="7" spans="1:10" ht="16.5">
      <c r="A7" s="659" t="s">
        <v>39</v>
      </c>
      <c r="B7" s="659"/>
      <c r="C7" s="659"/>
      <c r="D7" s="659"/>
      <c r="E7" s="659"/>
      <c r="F7" s="659"/>
      <c r="G7" s="627"/>
      <c r="H7" s="627"/>
      <c r="I7" s="627"/>
    </row>
    <row r="8" spans="1:10" ht="6" customHeight="1"/>
    <row r="9" spans="1:10" s="351" customFormat="1" ht="42.75" customHeight="1">
      <c r="A9" s="794" t="s">
        <v>313</v>
      </c>
      <c r="B9" s="794"/>
      <c r="C9" s="352" t="s">
        <v>314</v>
      </c>
      <c r="D9" s="353" t="s">
        <v>315</v>
      </c>
      <c r="E9" s="353" t="s">
        <v>316</v>
      </c>
      <c r="F9" s="353"/>
      <c r="G9" s="794" t="s">
        <v>317</v>
      </c>
      <c r="H9" s="752"/>
      <c r="I9" s="752"/>
    </row>
    <row r="10" spans="1:10" s="331" customFormat="1" ht="12.75" hidden="1" customHeight="1">
      <c r="A10" s="354"/>
      <c r="B10" s="354"/>
      <c r="C10" s="355"/>
      <c r="D10" s="355"/>
      <c r="E10" s="328"/>
      <c r="F10" s="328"/>
      <c r="G10" s="809" t="s">
        <v>317</v>
      </c>
      <c r="H10" s="770"/>
      <c r="I10" s="770"/>
    </row>
    <row r="11" spans="1:10" s="331" customFormat="1" ht="12.75" hidden="1" customHeight="1">
      <c r="A11" s="354"/>
      <c r="B11" s="354"/>
      <c r="C11" s="355"/>
      <c r="D11" s="355"/>
      <c r="E11" s="355"/>
      <c r="F11" s="355"/>
      <c r="G11" s="809" t="s">
        <v>317</v>
      </c>
      <c r="H11" s="770"/>
      <c r="I11" s="770"/>
    </row>
    <row r="12" spans="1:10" s="331" customFormat="1" ht="9" hidden="1" customHeight="1">
      <c r="A12" s="354"/>
      <c r="B12" s="354"/>
      <c r="C12" s="355"/>
      <c r="D12" s="355"/>
      <c r="E12" s="355"/>
      <c r="F12" s="355"/>
      <c r="G12" s="809" t="s">
        <v>317</v>
      </c>
      <c r="H12" s="770"/>
      <c r="I12" s="770"/>
    </row>
    <row r="13" spans="1:10" s="468" customFormat="1" ht="16.5">
      <c r="A13" s="811" t="s">
        <v>415</v>
      </c>
      <c r="B13" s="811"/>
      <c r="C13" s="452">
        <f>SUM(C14:C17)</f>
        <v>30961974</v>
      </c>
      <c r="D13" s="452">
        <f t="shared" ref="D13:E13" si="0">SUM(D14:D17)</f>
        <v>4526965</v>
      </c>
      <c r="E13" s="452">
        <f t="shared" si="0"/>
        <v>35488939</v>
      </c>
      <c r="F13" s="356"/>
      <c r="G13" s="807" t="s">
        <v>416</v>
      </c>
      <c r="H13" s="810"/>
      <c r="I13" s="808"/>
      <c r="J13" s="468">
        <f>D13</f>
        <v>4526965</v>
      </c>
    </row>
    <row r="14" spans="1:10" s="468" customFormat="1" ht="16.5">
      <c r="A14" s="343"/>
      <c r="B14" s="466" t="s">
        <v>417</v>
      </c>
      <c r="C14" s="445">
        <v>5923</v>
      </c>
      <c r="D14" s="445"/>
      <c r="E14" s="453">
        <f>C14+D14</f>
        <v>5923</v>
      </c>
      <c r="F14" s="356"/>
      <c r="G14" s="344"/>
      <c r="H14" s="810" t="s">
        <v>417</v>
      </c>
      <c r="I14" s="808"/>
      <c r="J14" s="468">
        <f t="shared" ref="J14:J31" si="1">D14</f>
        <v>0</v>
      </c>
    </row>
    <row r="15" spans="1:10" s="468" customFormat="1" ht="16.5">
      <c r="A15" s="343"/>
      <c r="B15" s="466" t="s">
        <v>418</v>
      </c>
      <c r="C15" s="445">
        <v>1191</v>
      </c>
      <c r="D15" s="445">
        <v>4526965</v>
      </c>
      <c r="E15" s="453">
        <f t="shared" ref="E15:E16" si="2">C15+D15</f>
        <v>4528156</v>
      </c>
      <c r="F15" s="356"/>
      <c r="G15" s="344"/>
      <c r="H15" s="810" t="s">
        <v>419</v>
      </c>
      <c r="I15" s="808"/>
      <c r="J15" s="468">
        <f t="shared" si="1"/>
        <v>4526965</v>
      </c>
    </row>
    <row r="16" spans="1:10" s="468" customFormat="1" ht="16.5">
      <c r="A16" s="343"/>
      <c r="B16" s="466" t="s">
        <v>420</v>
      </c>
      <c r="C16" s="445">
        <v>30954013</v>
      </c>
      <c r="D16" s="445"/>
      <c r="E16" s="453">
        <f t="shared" si="2"/>
        <v>30954013</v>
      </c>
      <c r="F16" s="356"/>
      <c r="G16" s="344"/>
      <c r="H16" s="810" t="s">
        <v>20</v>
      </c>
      <c r="I16" s="808"/>
      <c r="J16" s="468">
        <f t="shared" si="1"/>
        <v>0</v>
      </c>
    </row>
    <row r="17" spans="1:10" s="469" customFormat="1" ht="16.5">
      <c r="A17" s="343"/>
      <c r="B17" s="466" t="s">
        <v>421</v>
      </c>
      <c r="C17" s="445">
        <v>847</v>
      </c>
      <c r="D17" s="445"/>
      <c r="E17" s="453">
        <f>C17+D17</f>
        <v>847</v>
      </c>
      <c r="F17" s="356"/>
      <c r="G17" s="344"/>
      <c r="H17" s="810" t="s">
        <v>422</v>
      </c>
      <c r="I17" s="808"/>
      <c r="J17" s="468">
        <f t="shared" si="1"/>
        <v>0</v>
      </c>
    </row>
    <row r="18" spans="1:10" s="469" customFormat="1" ht="16.5">
      <c r="A18" s="807" t="s">
        <v>423</v>
      </c>
      <c r="B18" s="808"/>
      <c r="C18" s="454">
        <f>SUM(C19:C27)</f>
        <v>29292148</v>
      </c>
      <c r="D18" s="454">
        <f t="shared" ref="D18:E18" si="3">SUM(D19:D27)</f>
        <v>2469884</v>
      </c>
      <c r="E18" s="454">
        <f t="shared" si="3"/>
        <v>31762032</v>
      </c>
      <c r="F18" s="357"/>
      <c r="G18" s="807" t="s">
        <v>424</v>
      </c>
      <c r="H18" s="810"/>
      <c r="I18" s="808"/>
      <c r="J18" s="468">
        <f t="shared" si="1"/>
        <v>2469884</v>
      </c>
    </row>
    <row r="19" spans="1:10" s="469" customFormat="1" ht="16.5">
      <c r="A19" s="343"/>
      <c r="B19" s="466" t="s">
        <v>425</v>
      </c>
      <c r="C19" s="445">
        <v>28141899</v>
      </c>
      <c r="D19" s="445"/>
      <c r="E19" s="453">
        <f>C19+D19</f>
        <v>28141899</v>
      </c>
      <c r="F19" s="356"/>
      <c r="G19" s="344"/>
      <c r="H19" s="810" t="s">
        <v>426</v>
      </c>
      <c r="I19" s="808"/>
      <c r="J19" s="468">
        <f t="shared" si="1"/>
        <v>0</v>
      </c>
    </row>
    <row r="20" spans="1:10" s="469" customFormat="1" ht="16.5">
      <c r="A20" s="343"/>
      <c r="B20" s="466" t="s">
        <v>427</v>
      </c>
      <c r="C20" s="445">
        <v>718010</v>
      </c>
      <c r="D20" s="445">
        <v>431919</v>
      </c>
      <c r="E20" s="453">
        <f>C20+D20</f>
        <v>1149929</v>
      </c>
      <c r="F20" s="356"/>
      <c r="G20" s="344"/>
      <c r="H20" s="465" t="s">
        <v>428</v>
      </c>
      <c r="I20" s="466"/>
      <c r="J20" s="468"/>
    </row>
    <row r="21" spans="1:10" s="469" customFormat="1" ht="16.5">
      <c r="A21" s="343"/>
      <c r="B21" s="466" t="s">
        <v>429</v>
      </c>
      <c r="C21" s="445">
        <v>47813</v>
      </c>
      <c r="D21" s="445">
        <v>-47813</v>
      </c>
      <c r="E21" s="453">
        <f t="shared" ref="E21:E31" si="4">C21+D21</f>
        <v>0</v>
      </c>
      <c r="F21" s="356"/>
      <c r="G21" s="344"/>
      <c r="H21" s="465"/>
      <c r="I21" s="466"/>
      <c r="J21" s="468"/>
    </row>
    <row r="22" spans="1:10" s="469" customFormat="1" ht="16.5">
      <c r="A22" s="343"/>
      <c r="B22" s="466" t="s">
        <v>430</v>
      </c>
      <c r="C22" s="445">
        <v>373666</v>
      </c>
      <c r="D22" s="445">
        <v>-373666</v>
      </c>
      <c r="E22" s="453">
        <f t="shared" si="4"/>
        <v>0</v>
      </c>
      <c r="F22" s="356"/>
      <c r="G22" s="344"/>
      <c r="H22" s="465"/>
      <c r="I22" s="466"/>
      <c r="J22" s="468"/>
    </row>
    <row r="23" spans="1:10" s="469" customFormat="1" ht="16.5">
      <c r="A23" s="343"/>
      <c r="B23" s="466" t="s">
        <v>431</v>
      </c>
      <c r="C23" s="445"/>
      <c r="D23" s="445"/>
      <c r="E23" s="453">
        <f t="shared" si="4"/>
        <v>0</v>
      </c>
      <c r="F23" s="356"/>
      <c r="G23" s="344"/>
      <c r="H23" s="465"/>
      <c r="I23" s="466"/>
      <c r="J23" s="468"/>
    </row>
    <row r="24" spans="1:10" s="469" customFormat="1" ht="33">
      <c r="A24" s="343"/>
      <c r="B24" s="466" t="s">
        <v>432</v>
      </c>
      <c r="C24" s="445">
        <v>10440</v>
      </c>
      <c r="D24" s="445">
        <v>-10440</v>
      </c>
      <c r="E24" s="453">
        <f t="shared" si="4"/>
        <v>0</v>
      </c>
      <c r="F24" s="356"/>
      <c r="G24" s="344"/>
      <c r="H24" s="465"/>
      <c r="I24" s="466"/>
      <c r="J24" s="468"/>
    </row>
    <row r="25" spans="1:10" s="469" customFormat="1" ht="16.5">
      <c r="A25" s="343"/>
      <c r="B25" s="466"/>
      <c r="C25" s="445"/>
      <c r="D25" s="445">
        <v>1089</v>
      </c>
      <c r="E25" s="453">
        <f t="shared" si="4"/>
        <v>1089</v>
      </c>
      <c r="F25" s="356"/>
      <c r="G25" s="344"/>
      <c r="H25" s="465" t="s">
        <v>433</v>
      </c>
      <c r="I25" s="466"/>
      <c r="J25" s="468"/>
    </row>
    <row r="26" spans="1:10" s="469" customFormat="1" ht="16.5">
      <c r="A26" s="343"/>
      <c r="B26" s="359"/>
      <c r="C26" s="445"/>
      <c r="D26" s="445">
        <v>2468795</v>
      </c>
      <c r="E26" s="453">
        <f t="shared" si="4"/>
        <v>2468795</v>
      </c>
      <c r="F26" s="356"/>
      <c r="G26" s="344"/>
      <c r="H26" s="810" t="s">
        <v>434</v>
      </c>
      <c r="I26" s="808"/>
      <c r="J26" s="468">
        <f t="shared" si="1"/>
        <v>2468795</v>
      </c>
    </row>
    <row r="27" spans="1:10" s="469" customFormat="1" ht="16.5">
      <c r="A27" s="343"/>
      <c r="B27" s="359" t="s">
        <v>435</v>
      </c>
      <c r="C27" s="445">
        <v>320</v>
      </c>
      <c r="D27" s="445"/>
      <c r="E27" s="453">
        <f t="shared" si="4"/>
        <v>320</v>
      </c>
      <c r="F27" s="356"/>
      <c r="G27" s="344"/>
      <c r="H27" s="465" t="s">
        <v>436</v>
      </c>
      <c r="I27" s="466"/>
      <c r="J27" s="468"/>
    </row>
    <row r="28" spans="1:10" s="469" customFormat="1" ht="16.5">
      <c r="A28" s="806" t="s">
        <v>333</v>
      </c>
      <c r="B28" s="806"/>
      <c r="C28" s="452">
        <f>C13-C18</f>
        <v>1669826</v>
      </c>
      <c r="D28" s="452">
        <f t="shared" ref="D28:E28" si="5">D13-D18</f>
        <v>2057081</v>
      </c>
      <c r="E28" s="452">
        <f t="shared" si="5"/>
        <v>3726907</v>
      </c>
      <c r="F28" s="356"/>
      <c r="G28" s="812" t="s">
        <v>333</v>
      </c>
      <c r="H28" s="813"/>
      <c r="I28" s="814"/>
      <c r="J28" s="468">
        <f t="shared" si="1"/>
        <v>2057081</v>
      </c>
    </row>
    <row r="29" spans="1:10" s="469" customFormat="1" ht="16.5">
      <c r="A29" s="806" t="s">
        <v>24</v>
      </c>
      <c r="B29" s="806"/>
      <c r="C29" s="561">
        <f>[4]對照表!C31</f>
        <v>1741563</v>
      </c>
      <c r="D29" s="561">
        <f>[4]對照表!D31</f>
        <v>41038269</v>
      </c>
      <c r="E29" s="454">
        <f t="shared" si="4"/>
        <v>42779832</v>
      </c>
      <c r="F29" s="357"/>
      <c r="G29" s="812" t="s">
        <v>331</v>
      </c>
      <c r="H29" s="813"/>
      <c r="I29" s="814"/>
      <c r="J29" s="468">
        <f t="shared" si="1"/>
        <v>41038269</v>
      </c>
    </row>
    <row r="30" spans="1:10" s="469" customFormat="1" ht="16.5">
      <c r="A30" s="806" t="s">
        <v>332</v>
      </c>
      <c r="B30" s="806"/>
      <c r="C30" s="451"/>
      <c r="D30" s="451"/>
      <c r="E30" s="452">
        <f t="shared" si="4"/>
        <v>0</v>
      </c>
      <c r="F30" s="356"/>
      <c r="G30" s="812" t="s">
        <v>332</v>
      </c>
      <c r="H30" s="813"/>
      <c r="I30" s="814"/>
      <c r="J30" s="468">
        <f t="shared" si="1"/>
        <v>0</v>
      </c>
    </row>
    <row r="31" spans="1:10" s="469" customFormat="1" ht="16.5">
      <c r="A31" s="815" t="s">
        <v>26</v>
      </c>
      <c r="B31" s="815"/>
      <c r="C31" s="455">
        <f>C28+C29-C30</f>
        <v>3411389</v>
      </c>
      <c r="D31" s="455">
        <f t="shared" ref="D31" si="6">D28+D29-D30</f>
        <v>43095350</v>
      </c>
      <c r="E31" s="455">
        <f t="shared" si="4"/>
        <v>46506739</v>
      </c>
      <c r="F31" s="358"/>
      <c r="G31" s="816" t="s">
        <v>334</v>
      </c>
      <c r="H31" s="817"/>
      <c r="I31" s="818"/>
      <c r="J31" s="468">
        <f t="shared" si="1"/>
        <v>43095350</v>
      </c>
    </row>
    <row r="32" spans="1:10" s="468" customFormat="1" ht="12.75" hidden="1" customHeight="1">
      <c r="A32" s="469"/>
      <c r="B32" s="469"/>
      <c r="C32" s="469"/>
      <c r="D32" s="469"/>
      <c r="E32" s="469"/>
      <c r="F32" s="469"/>
      <c r="G32" s="469"/>
      <c r="H32" s="469"/>
    </row>
    <row r="33" spans="1:1" s="469" customFormat="1" ht="19.5" customHeight="1">
      <c r="A33" s="350" t="s">
        <v>437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8"/>
  <sheetViews>
    <sheetView view="pageBreakPreview" zoomScaleNormal="90" workbookViewId="0">
      <selection activeCell="A19" sqref="A19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20" t="str">
        <f>封面!$A$4</f>
        <v>彰化縣地方教育發展基金－彰化縣秀水鄉馬興國民小學</v>
      </c>
      <c r="B1" s="821"/>
      <c r="C1" s="821"/>
    </row>
    <row r="2" spans="1:5" ht="25.5" customHeight="1">
      <c r="A2" s="822" t="s">
        <v>70</v>
      </c>
      <c r="B2" s="822"/>
      <c r="C2" s="822"/>
    </row>
    <row r="3" spans="1:5" ht="24" customHeight="1">
      <c r="A3" s="823" t="str">
        <f>封面!$E$10&amp;封面!$H$10&amp;封面!$I$10&amp;封面!$J$10&amp;封面!$K$10&amp;封面!$O$10&amp;"日"</f>
        <v>中華民國112年9月30日</v>
      </c>
      <c r="B3" s="823"/>
      <c r="C3" s="823"/>
    </row>
    <row r="4" spans="1:5" s="25" customFormat="1" ht="23.25" customHeight="1">
      <c r="A4" s="824"/>
      <c r="B4" s="824" t="s">
        <v>71</v>
      </c>
      <c r="C4" s="824"/>
    </row>
    <row r="5" spans="1:5" s="25" customFormat="1" ht="23.25" customHeight="1">
      <c r="A5" s="824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3371389</v>
      </c>
    </row>
    <row r="7" spans="1:5" ht="24" customHeight="1">
      <c r="A7" s="218" t="s">
        <v>196</v>
      </c>
      <c r="B7" s="110">
        <f>VLOOKUP("銀行存款-縣庫存款",平衡!$E$13:$H$41,4,0)</f>
        <v>3371389</v>
      </c>
      <c r="C7" s="112"/>
    </row>
    <row r="8" spans="1:5" ht="24" customHeight="1">
      <c r="A8" s="103" t="s">
        <v>152</v>
      </c>
      <c r="B8" s="110"/>
      <c r="C8" s="375">
        <f>SUM(B9:B14)</f>
        <v>16000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594" t="s">
        <v>686</v>
      </c>
      <c r="B11" s="110">
        <v>16000</v>
      </c>
      <c r="C11" s="112"/>
    </row>
    <row r="12" spans="1:5" ht="24" customHeight="1">
      <c r="A12" s="219"/>
      <c r="B12" s="110"/>
      <c r="C12" s="112"/>
    </row>
    <row r="13" spans="1:5" ht="24" customHeight="1">
      <c r="A13" s="219"/>
      <c r="B13" s="110"/>
      <c r="C13" s="361"/>
      <c r="D13" s="362"/>
      <c r="E13" s="362"/>
    </row>
    <row r="14" spans="1:5" ht="24" customHeight="1">
      <c r="A14" s="219"/>
      <c r="B14" s="110"/>
      <c r="C14" s="361"/>
      <c r="D14" s="362"/>
      <c r="E14" s="362"/>
    </row>
    <row r="15" spans="1:5" ht="24" customHeight="1">
      <c r="A15" s="27" t="s">
        <v>77</v>
      </c>
      <c r="B15" s="110"/>
      <c r="C15" s="375">
        <f>SUM(B16:B18)</f>
        <v>399233</v>
      </c>
      <c r="D15" s="362"/>
      <c r="E15" s="362"/>
    </row>
    <row r="16" spans="1:5" ht="24" customHeight="1">
      <c r="A16" s="593" t="s">
        <v>684</v>
      </c>
      <c r="B16" s="110">
        <f>縣庫對帳!G10</f>
        <v>698</v>
      </c>
      <c r="C16" s="361"/>
      <c r="D16" s="362"/>
      <c r="E16" s="362"/>
    </row>
    <row r="17" spans="1:5" ht="24" customHeight="1">
      <c r="A17" s="218" t="s">
        <v>685</v>
      </c>
      <c r="B17" s="110">
        <f>縣庫對帳!G11</f>
        <v>41223</v>
      </c>
      <c r="C17" s="361"/>
      <c r="D17" s="362"/>
      <c r="E17" s="362"/>
    </row>
    <row r="18" spans="1:5" ht="24" customHeight="1">
      <c r="A18" s="218" t="s">
        <v>781</v>
      </c>
      <c r="B18" s="110">
        <f>縣庫對帳!G12</f>
        <v>357312</v>
      </c>
      <c r="C18" s="361"/>
      <c r="D18" s="362"/>
      <c r="E18" s="362"/>
    </row>
    <row r="19" spans="1:5" ht="24" customHeight="1">
      <c r="A19" s="27" t="s">
        <v>78</v>
      </c>
      <c r="B19" s="110"/>
      <c r="C19" s="375">
        <f>SUM(B20:B21)</f>
        <v>0</v>
      </c>
      <c r="D19" s="362"/>
      <c r="E19" s="362"/>
    </row>
    <row r="20" spans="1:5" ht="24" customHeight="1">
      <c r="A20" s="219"/>
      <c r="B20" s="110"/>
      <c r="C20" s="361"/>
      <c r="D20" s="362"/>
      <c r="E20" s="362"/>
    </row>
    <row r="21" spans="1:5" ht="24" customHeight="1">
      <c r="A21" s="218"/>
      <c r="B21" s="110"/>
      <c r="C21" s="361"/>
      <c r="D21" s="362"/>
      <c r="E21" s="362"/>
    </row>
    <row r="22" spans="1:5" ht="24" customHeight="1">
      <c r="A22" s="27" t="s">
        <v>79</v>
      </c>
      <c r="B22" s="110"/>
      <c r="C22" s="375">
        <f>SUM(B23:B24)</f>
        <v>0</v>
      </c>
      <c r="D22" s="362"/>
      <c r="E22" s="362"/>
    </row>
    <row r="23" spans="1:5" ht="24" customHeight="1">
      <c r="A23" s="218"/>
      <c r="B23" s="110"/>
      <c r="C23" s="361"/>
      <c r="D23" s="362"/>
      <c r="E23" s="362"/>
    </row>
    <row r="24" spans="1:5" ht="24" customHeight="1">
      <c r="A24" s="218"/>
      <c r="B24" s="110"/>
      <c r="C24" s="112"/>
    </row>
    <row r="25" spans="1:5" ht="24" customHeight="1">
      <c r="A25" s="27" t="s">
        <v>183</v>
      </c>
      <c r="B25" s="110"/>
      <c r="C25" s="111">
        <f>C6+C8+C15-C19-C22</f>
        <v>3786622</v>
      </c>
      <c r="D25" s="23">
        <f>VLOOKUP(1,縣庫對帳!$A$4:$L$100,12)</f>
        <v>3786622</v>
      </c>
      <c r="E25" s="23">
        <f>C25-D25</f>
        <v>0</v>
      </c>
    </row>
    <row r="26" spans="1:5" ht="24" customHeight="1">
      <c r="A26" s="218"/>
      <c r="B26" s="110"/>
      <c r="C26" s="112"/>
    </row>
    <row r="28" spans="1:5">
      <c r="A28" s="819"/>
      <c r="B28" s="819"/>
      <c r="C28" s="819"/>
    </row>
  </sheetData>
  <mergeCells count="6">
    <mergeCell ref="A28:C28"/>
    <mergeCell ref="A1:C1"/>
    <mergeCell ref="A2:C2"/>
    <mergeCell ref="A3:C3"/>
    <mergeCell ref="A4:A5"/>
    <mergeCell ref="B4:C4"/>
  </mergeCells>
  <phoneticPr fontId="10" type="noConversion"/>
  <conditionalFormatting sqref="C25">
    <cfRule type="cellIs" dxfId="8" priority="1" stopIfTrue="1" operator="notEqual">
      <formula>$D$25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M12" sqref="M12:M15"/>
      <selection pane="topRight" activeCell="M12" sqref="M12:M15"/>
      <selection pane="bottomLeft" activeCell="M12" sqref="M12:M15"/>
      <selection pane="bottomRight" activeCell="G12" sqref="G12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9.140625" style="52" bestFit="1" customWidth="1"/>
    <col min="5" max="5" width="14.140625" style="53" bestFit="1" customWidth="1"/>
    <col min="6" max="6" width="8.140625" style="53" customWidth="1"/>
    <col min="7" max="7" width="9.5703125" style="30" bestFit="1" customWidth="1"/>
    <col min="8" max="8" width="10.28515625" style="30" bestFit="1" customWidth="1"/>
    <col min="9" max="9" width="13.140625" style="30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55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58"/>
      <c r="B1" s="825" t="s">
        <v>80</v>
      </c>
      <c r="C1" s="825"/>
      <c r="D1" s="825"/>
      <c r="E1" s="825"/>
      <c r="F1" s="825"/>
      <c r="G1" s="825"/>
      <c r="H1" s="825"/>
      <c r="I1" s="825"/>
      <c r="J1" s="825"/>
      <c r="K1" s="825"/>
      <c r="L1" s="825"/>
      <c r="M1" s="146"/>
      <c r="N1" s="58"/>
      <c r="O1" s="58"/>
      <c r="P1" s="58"/>
      <c r="Q1" s="551"/>
      <c r="R1" s="54"/>
      <c r="S1" s="54"/>
      <c r="T1" s="54"/>
      <c r="U1" s="54"/>
      <c r="V1" s="55"/>
    </row>
    <row r="2" spans="1:22" s="56" customFormat="1" ht="33">
      <c r="A2" s="158"/>
      <c r="B2" s="826" t="str">
        <f>封面!$E$10&amp;封面!$H$10&amp;封面!$I$10&amp;封面!$J$10&amp;封面!$K$10&amp;封面!L10</f>
        <v>中華民國112年9月份</v>
      </c>
      <c r="C2" s="826"/>
      <c r="D2" s="826"/>
      <c r="E2" s="826"/>
      <c r="F2" s="826"/>
      <c r="G2" s="826"/>
      <c r="H2" s="826"/>
      <c r="I2" s="826"/>
      <c r="J2" s="826"/>
      <c r="K2" s="826"/>
      <c r="L2" s="826"/>
      <c r="M2" s="147"/>
      <c r="N2" s="160" t="s">
        <v>158</v>
      </c>
      <c r="O2" s="160"/>
      <c r="P2" s="160" t="s">
        <v>157</v>
      </c>
      <c r="Q2" s="552"/>
      <c r="R2" s="57"/>
      <c r="S2" s="57"/>
      <c r="T2" s="57"/>
      <c r="U2" s="57"/>
      <c r="V2" s="57"/>
    </row>
    <row r="3" spans="1:22" s="70" customFormat="1">
      <c r="B3" s="180" t="s">
        <v>171</v>
      </c>
      <c r="C3" s="180" t="s">
        <v>172</v>
      </c>
      <c r="D3" s="180" t="s">
        <v>173</v>
      </c>
      <c r="E3" s="181" t="s">
        <v>174</v>
      </c>
      <c r="F3" s="181" t="s">
        <v>81</v>
      </c>
      <c r="G3" s="182" t="s">
        <v>175</v>
      </c>
      <c r="H3" s="183" t="s">
        <v>176</v>
      </c>
      <c r="I3" s="183" t="s">
        <v>4</v>
      </c>
      <c r="J3" s="183" t="s">
        <v>177</v>
      </c>
      <c r="K3" s="183" t="s">
        <v>178</v>
      </c>
      <c r="L3" s="183" t="s">
        <v>82</v>
      </c>
      <c r="M3" s="68"/>
      <c r="N3" s="194">
        <f>VLOOKUP(1,$A$4:$L$98,10,0)-N4+N5-P9</f>
        <v>30961974</v>
      </c>
      <c r="O3" s="194"/>
      <c r="P3" s="194">
        <f>VLOOKUP(1,$A$4:$L$98,11,0)-P4+P5-P6+P7-P8-P9</f>
        <v>29292148</v>
      </c>
      <c r="Q3" s="69"/>
    </row>
    <row r="4" spans="1:22" s="53" customFormat="1">
      <c r="A4" s="67"/>
      <c r="B4" s="184" t="s">
        <v>654</v>
      </c>
      <c r="C4" s="185" t="s">
        <v>655</v>
      </c>
      <c r="D4" s="185" t="s">
        <v>656</v>
      </c>
      <c r="E4" s="185" t="s">
        <v>656</v>
      </c>
      <c r="F4" s="185" t="s">
        <v>656</v>
      </c>
      <c r="G4" s="185" t="s">
        <v>656</v>
      </c>
      <c r="H4" s="185" t="s">
        <v>657</v>
      </c>
      <c r="I4" s="186" t="s">
        <v>656</v>
      </c>
      <c r="J4" s="186">
        <v>32845457</v>
      </c>
      <c r="K4" s="186">
        <v>24529366</v>
      </c>
      <c r="L4" s="186">
        <v>8316091</v>
      </c>
      <c r="M4" s="217" t="s">
        <v>185</v>
      </c>
      <c r="N4" s="195">
        <f>[5]縣庫對帳!$L$4</f>
        <v>1883483</v>
      </c>
      <c r="O4" s="196" t="s">
        <v>186</v>
      </c>
      <c r="P4" s="197">
        <f>VLOOKUP("零用及週轉金",平衡!$D$13:$H$42,5,0)</f>
        <v>40000</v>
      </c>
      <c r="Q4" s="553"/>
    </row>
    <row r="5" spans="1:22" s="53" customFormat="1">
      <c r="A5" s="67"/>
      <c r="B5" s="184" t="s">
        <v>654</v>
      </c>
      <c r="C5" s="185" t="s">
        <v>655</v>
      </c>
      <c r="D5" s="185" t="s">
        <v>658</v>
      </c>
      <c r="E5" s="185" t="s">
        <v>659</v>
      </c>
      <c r="F5" s="185" t="s">
        <v>660</v>
      </c>
      <c r="G5" s="185" t="s">
        <v>656</v>
      </c>
      <c r="H5" s="185" t="s">
        <v>661</v>
      </c>
      <c r="I5" s="186">
        <v>2437640</v>
      </c>
      <c r="J5" s="186">
        <v>32845457</v>
      </c>
      <c r="K5" s="186">
        <v>26967006</v>
      </c>
      <c r="L5" s="186">
        <v>5878451</v>
      </c>
      <c r="M5" s="196" t="s">
        <v>187</v>
      </c>
      <c r="N5" s="197">
        <f>-庫款差額!C15+庫款差額!C19</f>
        <v>-399233</v>
      </c>
      <c r="O5" s="196" t="s">
        <v>187</v>
      </c>
      <c r="P5" s="197">
        <f>庫款差額!C8-庫款差額!C22</f>
        <v>16000</v>
      </c>
      <c r="Q5" s="553"/>
    </row>
    <row r="6" spans="1:22" s="53" customFormat="1" ht="22.5">
      <c r="A6" s="67"/>
      <c r="B6" s="184" t="s">
        <v>654</v>
      </c>
      <c r="C6" s="185" t="s">
        <v>655</v>
      </c>
      <c r="D6" s="185" t="s">
        <v>658</v>
      </c>
      <c r="E6" s="184" t="s">
        <v>662</v>
      </c>
      <c r="F6" s="184" t="s">
        <v>663</v>
      </c>
      <c r="G6" s="185" t="s">
        <v>656</v>
      </c>
      <c r="H6" s="185" t="s">
        <v>661</v>
      </c>
      <c r="I6" s="186">
        <v>27000</v>
      </c>
      <c r="J6" s="186">
        <v>32845457</v>
      </c>
      <c r="K6" s="186">
        <v>26994006</v>
      </c>
      <c r="L6" s="186">
        <v>5851451</v>
      </c>
      <c r="M6" s="115"/>
      <c r="N6" s="198"/>
      <c r="O6" s="199" t="s">
        <v>192</v>
      </c>
      <c r="P6" s="197">
        <v>141920</v>
      </c>
      <c r="Q6" s="553"/>
    </row>
    <row r="7" spans="1:22" s="53" customFormat="1" ht="22.5">
      <c r="A7" s="67"/>
      <c r="B7" s="184" t="s">
        <v>654</v>
      </c>
      <c r="C7" s="185" t="s">
        <v>655</v>
      </c>
      <c r="D7" s="185" t="s">
        <v>664</v>
      </c>
      <c r="E7" s="184" t="s">
        <v>665</v>
      </c>
      <c r="F7" s="184" t="s">
        <v>666</v>
      </c>
      <c r="G7" s="185" t="s">
        <v>656</v>
      </c>
      <c r="H7" s="185" t="s">
        <v>661</v>
      </c>
      <c r="I7" s="186">
        <v>18880</v>
      </c>
      <c r="J7" s="186">
        <v>32845457</v>
      </c>
      <c r="K7" s="186">
        <v>27012886</v>
      </c>
      <c r="L7" s="186">
        <v>5832571</v>
      </c>
      <c r="M7" s="115"/>
      <c r="N7" s="198"/>
      <c r="O7" s="199" t="s">
        <v>193</v>
      </c>
      <c r="P7" s="197">
        <f>IF(Q7=0,0,VLOOKUP("應付費用",平衡!$N$13:$T$41,7,0))</f>
        <v>0</v>
      </c>
      <c r="Q7" s="553"/>
    </row>
    <row r="8" spans="1:22" s="53" customFormat="1">
      <c r="A8" s="67"/>
      <c r="B8" s="184" t="s">
        <v>654</v>
      </c>
      <c r="C8" s="185" t="s">
        <v>655</v>
      </c>
      <c r="D8" s="185" t="s">
        <v>667</v>
      </c>
      <c r="E8" s="184" t="s">
        <v>668</v>
      </c>
      <c r="F8" s="184" t="s">
        <v>669</v>
      </c>
      <c r="G8" s="185" t="s">
        <v>656</v>
      </c>
      <c r="H8" s="185" t="s">
        <v>661</v>
      </c>
      <c r="I8" s="186">
        <v>37953</v>
      </c>
      <c r="J8" s="186">
        <v>32845457</v>
      </c>
      <c r="K8" s="186">
        <v>27050839</v>
      </c>
      <c r="L8" s="186">
        <v>5794618</v>
      </c>
      <c r="M8" s="115"/>
      <c r="N8" s="198"/>
      <c r="O8" s="197" t="s">
        <v>188</v>
      </c>
      <c r="P8" s="197"/>
      <c r="Q8" s="553"/>
    </row>
    <row r="9" spans="1:22" s="53" customFormat="1">
      <c r="A9" s="67"/>
      <c r="B9" s="184" t="s">
        <v>654</v>
      </c>
      <c r="C9" s="185" t="s">
        <v>655</v>
      </c>
      <c r="D9" s="185" t="s">
        <v>670</v>
      </c>
      <c r="E9" s="184" t="s">
        <v>671</v>
      </c>
      <c r="F9" s="184" t="s">
        <v>672</v>
      </c>
      <c r="G9" s="185" t="s">
        <v>656</v>
      </c>
      <c r="H9" s="185" t="s">
        <v>661</v>
      </c>
      <c r="I9" s="186">
        <v>189260</v>
      </c>
      <c r="J9" s="186">
        <v>32845457</v>
      </c>
      <c r="K9" s="186">
        <v>27240099</v>
      </c>
      <c r="L9" s="186">
        <v>5605358</v>
      </c>
      <c r="M9" s="115"/>
      <c r="N9" s="30"/>
      <c r="O9" s="197" t="s">
        <v>189</v>
      </c>
      <c r="P9" s="197"/>
      <c r="Q9" s="553"/>
    </row>
    <row r="10" spans="1:22" s="53" customFormat="1">
      <c r="A10" s="67"/>
      <c r="B10" s="184" t="s">
        <v>654</v>
      </c>
      <c r="C10" s="185" t="s">
        <v>655</v>
      </c>
      <c r="D10" s="185" t="s">
        <v>673</v>
      </c>
      <c r="E10" s="184" t="s">
        <v>674</v>
      </c>
      <c r="F10" s="184" t="s">
        <v>656</v>
      </c>
      <c r="G10" s="185">
        <v>698</v>
      </c>
      <c r="H10" s="185" t="s">
        <v>675</v>
      </c>
      <c r="I10" s="186" t="s">
        <v>656</v>
      </c>
      <c r="J10" s="186">
        <v>32846155</v>
      </c>
      <c r="K10" s="186">
        <v>27240099</v>
      </c>
      <c r="L10" s="186">
        <v>5606056</v>
      </c>
      <c r="M10" s="115"/>
      <c r="N10" s="30"/>
      <c r="O10" s="30"/>
      <c r="P10" s="30"/>
      <c r="Q10" s="553"/>
    </row>
    <row r="11" spans="1:22" s="53" customFormat="1">
      <c r="A11" s="67"/>
      <c r="B11" s="184" t="s">
        <v>654</v>
      </c>
      <c r="C11" s="185" t="s">
        <v>655</v>
      </c>
      <c r="D11" s="185" t="s">
        <v>676</v>
      </c>
      <c r="E11" s="184" t="s">
        <v>677</v>
      </c>
      <c r="F11" s="184" t="s">
        <v>656</v>
      </c>
      <c r="G11" s="185">
        <v>41223</v>
      </c>
      <c r="H11" s="185" t="s">
        <v>675</v>
      </c>
      <c r="I11" s="186" t="s">
        <v>656</v>
      </c>
      <c r="J11" s="186">
        <v>32887378</v>
      </c>
      <c r="K11" s="186">
        <v>27240099</v>
      </c>
      <c r="L11" s="186">
        <v>5647279</v>
      </c>
      <c r="M11" s="115"/>
      <c r="N11" s="30"/>
      <c r="O11" s="30"/>
      <c r="P11" s="30"/>
      <c r="Q11" s="553"/>
    </row>
    <row r="12" spans="1:22" s="53" customFormat="1">
      <c r="A12" s="67"/>
      <c r="B12" s="184" t="s">
        <v>654</v>
      </c>
      <c r="C12" s="185" t="s">
        <v>655</v>
      </c>
      <c r="D12" s="185" t="s">
        <v>678</v>
      </c>
      <c r="E12" s="184" t="s">
        <v>780</v>
      </c>
      <c r="F12" s="184" t="s">
        <v>656</v>
      </c>
      <c r="G12" s="185">
        <v>357312</v>
      </c>
      <c r="H12" s="185" t="s">
        <v>675</v>
      </c>
      <c r="I12" s="186" t="s">
        <v>656</v>
      </c>
      <c r="J12" s="186">
        <v>33244690</v>
      </c>
      <c r="K12" s="186">
        <v>27240099</v>
      </c>
      <c r="L12" s="186">
        <v>6004591</v>
      </c>
      <c r="M12" s="115"/>
      <c r="N12" s="30"/>
      <c r="O12" s="30"/>
      <c r="P12" s="30"/>
      <c r="Q12" s="553"/>
    </row>
    <row r="13" spans="1:22" s="53" customFormat="1">
      <c r="A13" s="67"/>
      <c r="B13" s="184" t="s">
        <v>654</v>
      </c>
      <c r="C13" s="360" t="s">
        <v>655</v>
      </c>
      <c r="D13" s="360" t="s">
        <v>678</v>
      </c>
      <c r="E13" s="360" t="s">
        <v>679</v>
      </c>
      <c r="F13" s="184" t="s">
        <v>680</v>
      </c>
      <c r="G13" s="185" t="s">
        <v>656</v>
      </c>
      <c r="H13" s="185" t="s">
        <v>661</v>
      </c>
      <c r="I13" s="186">
        <v>1816916</v>
      </c>
      <c r="J13" s="186">
        <v>33244690</v>
      </c>
      <c r="K13" s="186">
        <v>29057015</v>
      </c>
      <c r="L13" s="186">
        <v>4187675</v>
      </c>
      <c r="M13" s="115"/>
      <c r="N13" s="30"/>
      <c r="O13" s="30"/>
      <c r="P13" s="30"/>
      <c r="Q13" s="553"/>
    </row>
    <row r="14" spans="1:22" s="53" customFormat="1">
      <c r="A14" s="67">
        <v>1</v>
      </c>
      <c r="B14" s="184" t="s">
        <v>654</v>
      </c>
      <c r="C14" s="360" t="s">
        <v>655</v>
      </c>
      <c r="D14" s="360" t="s">
        <v>678</v>
      </c>
      <c r="E14" s="360" t="s">
        <v>681</v>
      </c>
      <c r="F14" s="184" t="s">
        <v>682</v>
      </c>
      <c r="G14" s="185" t="s">
        <v>656</v>
      </c>
      <c r="H14" s="185" t="s">
        <v>661</v>
      </c>
      <c r="I14" s="186">
        <v>401053</v>
      </c>
      <c r="J14" s="186">
        <v>33244690</v>
      </c>
      <c r="K14" s="186">
        <v>29458068</v>
      </c>
      <c r="L14" s="186">
        <v>3786622</v>
      </c>
      <c r="M14" s="115"/>
      <c r="N14" s="30"/>
      <c r="O14" s="30"/>
      <c r="P14" s="30"/>
      <c r="Q14" s="553"/>
    </row>
    <row r="15" spans="1:22" s="53" customFormat="1">
      <c r="A15" s="67"/>
      <c r="B15" s="184" t="s">
        <v>656</v>
      </c>
      <c r="C15" s="360" t="s">
        <v>683</v>
      </c>
      <c r="D15" s="360" t="s">
        <v>656</v>
      </c>
      <c r="E15" s="360" t="s">
        <v>656</v>
      </c>
      <c r="F15" s="184" t="s">
        <v>656</v>
      </c>
      <c r="G15" s="185">
        <v>399233</v>
      </c>
      <c r="H15" s="185" t="s">
        <v>656</v>
      </c>
      <c r="I15" s="186">
        <v>4928702</v>
      </c>
      <c r="J15" s="186" t="s">
        <v>656</v>
      </c>
      <c r="K15" s="186" t="s">
        <v>656</v>
      </c>
      <c r="L15" s="186" t="s">
        <v>656</v>
      </c>
      <c r="M15" s="115"/>
      <c r="N15" s="30"/>
      <c r="O15" s="30"/>
      <c r="P15" s="30"/>
      <c r="Q15" s="553"/>
    </row>
    <row r="16" spans="1:22" s="53" customFormat="1">
      <c r="A16" s="67"/>
      <c r="B16" s="184"/>
      <c r="C16" s="360"/>
      <c r="D16" s="360"/>
      <c r="E16" s="360"/>
      <c r="F16" s="184"/>
      <c r="G16" s="185"/>
      <c r="H16" s="185"/>
      <c r="I16" s="186"/>
      <c r="J16" s="186"/>
      <c r="K16" s="186"/>
      <c r="L16" s="186"/>
      <c r="M16" s="115"/>
      <c r="N16" s="30"/>
      <c r="O16" s="30"/>
      <c r="P16" s="30"/>
      <c r="Q16" s="553"/>
    </row>
    <row r="17" spans="1:19" s="53" customFormat="1">
      <c r="A17" s="67"/>
      <c r="B17" s="187"/>
      <c r="C17" s="373"/>
      <c r="D17" s="373"/>
      <c r="E17" s="373"/>
      <c r="F17" s="187"/>
      <c r="G17" s="188"/>
      <c r="H17" s="188"/>
      <c r="I17" s="188"/>
      <c r="J17" s="188"/>
      <c r="K17" s="188"/>
      <c r="L17" s="188"/>
      <c r="M17" s="115"/>
      <c r="N17" s="30"/>
      <c r="O17" s="30"/>
      <c r="P17" s="30"/>
      <c r="Q17" s="553"/>
    </row>
    <row r="18" spans="1:19" s="53" customFormat="1">
      <c r="A18" s="67"/>
      <c r="B18" s="187"/>
      <c r="C18" s="373"/>
      <c r="D18" s="373"/>
      <c r="E18" s="373"/>
      <c r="F18" s="187"/>
      <c r="G18" s="188"/>
      <c r="H18" s="188"/>
      <c r="I18" s="188"/>
      <c r="J18" s="188"/>
      <c r="K18" s="188"/>
      <c r="L18" s="188"/>
      <c r="M18" s="115"/>
      <c r="N18" s="30"/>
      <c r="O18" s="30"/>
      <c r="P18" s="30"/>
      <c r="Q18" s="553"/>
      <c r="S18" s="66"/>
    </row>
    <row r="19" spans="1:19" s="214" customFormat="1">
      <c r="A19" s="211"/>
      <c r="B19" s="187"/>
      <c r="C19" s="373"/>
      <c r="D19" s="373"/>
      <c r="E19" s="373"/>
      <c r="F19" s="187"/>
      <c r="G19" s="188"/>
      <c r="H19" s="188"/>
      <c r="I19" s="188"/>
      <c r="J19" s="188"/>
      <c r="K19" s="188"/>
      <c r="L19" s="188"/>
      <c r="M19" s="212"/>
      <c r="N19" s="213"/>
      <c r="O19" s="30"/>
      <c r="P19" s="30"/>
      <c r="Q19" s="554"/>
    </row>
    <row r="20" spans="1:19" s="214" customFormat="1" ht="14.25">
      <c r="A20" s="211"/>
      <c r="B20" s="215"/>
      <c r="C20" s="374"/>
      <c r="D20" s="374"/>
      <c r="E20" s="374"/>
      <c r="F20" s="215"/>
      <c r="G20" s="212"/>
      <c r="H20" s="212"/>
      <c r="I20" s="212"/>
      <c r="J20" s="212"/>
      <c r="K20" s="212"/>
      <c r="L20" s="212"/>
      <c r="M20" s="212"/>
      <c r="N20" s="213"/>
      <c r="O20" s="213"/>
      <c r="P20" s="213"/>
      <c r="Q20" s="554"/>
    </row>
    <row r="21" spans="1:19" s="214" customFormat="1" ht="14.25">
      <c r="A21" s="211"/>
      <c r="B21" s="215"/>
      <c r="C21" s="374"/>
      <c r="D21" s="374"/>
      <c r="E21" s="374"/>
      <c r="F21" s="215"/>
      <c r="G21" s="212"/>
      <c r="H21" s="212"/>
      <c r="I21" s="212"/>
      <c r="J21" s="212"/>
      <c r="K21" s="212"/>
      <c r="L21" s="212"/>
      <c r="M21" s="212"/>
      <c r="N21" s="213"/>
      <c r="O21" s="213"/>
      <c r="P21" s="213"/>
      <c r="Q21" s="554"/>
    </row>
    <row r="22" spans="1:19" s="214" customFormat="1" ht="14.25">
      <c r="A22" s="211"/>
      <c r="B22" s="215"/>
      <c r="C22" s="374"/>
      <c r="D22" s="374"/>
      <c r="E22" s="374"/>
      <c r="F22" s="216"/>
      <c r="G22" s="212"/>
      <c r="H22" s="212"/>
      <c r="I22" s="212"/>
      <c r="J22" s="212"/>
      <c r="K22" s="212"/>
      <c r="L22" s="212"/>
      <c r="M22" s="212"/>
      <c r="N22" s="213"/>
      <c r="O22" s="213"/>
      <c r="P22" s="213"/>
      <c r="Q22" s="554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3"/>
      <c r="P23" s="213"/>
      <c r="Q23" s="553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53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53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53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53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53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53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53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53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53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53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53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53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53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53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53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53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53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53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53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53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53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53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53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53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53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53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53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53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53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53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53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53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53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53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53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53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53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53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53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53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53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53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53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53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53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53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53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53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53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53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53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53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53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53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53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53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53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53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53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53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53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53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53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53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53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53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53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53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53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53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53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53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53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53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53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53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53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53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53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53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53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53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53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53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53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53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53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53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53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53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53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53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53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53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53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53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53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53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53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53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53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53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53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53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53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53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53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53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53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53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53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53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53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53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53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53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53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53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53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53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53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53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53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53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53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53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53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53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53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53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53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53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53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53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53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53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53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53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53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53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53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53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53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53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53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53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53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53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53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53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53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53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53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53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53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53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53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53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53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53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53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53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53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53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53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53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53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53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53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53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53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53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53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53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53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53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53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53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53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53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53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53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53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53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53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53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53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53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53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53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53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53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53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53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53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53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53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53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53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53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53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53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53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53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53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53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53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53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53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53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53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53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53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53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53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53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53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53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53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53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53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53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53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53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53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53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53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53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53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53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53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53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53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53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53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53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53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53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53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53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53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53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53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53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53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53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53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53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53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53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53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53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53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53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53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53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53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53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53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53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53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53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53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53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53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53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53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53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53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53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53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53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53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53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53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53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53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53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53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53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53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53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53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53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53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53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53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53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53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53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53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53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53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53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53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53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53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53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53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53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53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53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53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53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53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53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53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53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53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53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53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53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53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53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53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53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53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53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53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53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53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53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53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53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53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53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53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53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53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53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53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53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53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53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53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53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53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53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53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53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53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53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53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53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53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53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53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53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53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53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53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53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53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53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53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53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53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53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53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53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53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53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53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53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53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53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53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53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53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53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53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53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53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53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53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53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53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53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53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53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53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53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53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53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53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53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53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53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53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53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53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53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53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53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53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53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53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53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53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53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53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53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53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53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53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53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53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53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53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53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53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53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53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53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53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53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53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53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53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53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53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53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53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53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53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53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53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53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53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53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53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53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53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53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53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53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53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53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53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53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53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53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53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53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53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53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53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53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53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53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53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53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53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53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53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53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53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53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53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53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53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53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53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53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53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53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53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53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53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53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53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53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53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53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53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53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53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53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53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53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53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53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53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53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53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53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53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53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53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53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53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53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53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53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53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53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53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53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53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53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53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53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53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53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53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53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53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53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53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53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53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53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53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53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53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53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53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53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53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53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53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53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53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53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53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53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53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53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53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53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53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53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53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53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53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53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53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53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53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53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53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53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53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53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53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53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53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53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53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53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53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53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53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53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53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53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53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53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53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53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53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53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53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53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53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53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53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53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53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53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53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53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53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53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53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53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53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53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53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53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53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53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53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53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53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53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53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53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53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53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53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53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53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53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53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53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53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53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53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53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53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53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53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53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53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53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53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53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53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53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53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53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53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53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53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53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53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53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53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53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53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53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53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53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53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53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53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53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53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53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53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53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53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53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53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53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53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53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53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53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53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53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53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53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53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53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53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53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53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53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53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53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53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53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53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53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53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53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53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53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53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53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53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53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53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53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53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53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53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53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53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53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53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53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53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53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53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53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53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53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53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53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53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53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53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53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53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53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53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53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53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53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53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53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53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53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53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53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53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53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53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53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53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53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53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53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53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53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53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53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53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53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53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53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53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53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53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53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53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53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53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53"/>
    </row>
    <row r="746" spans="2:17">
      <c r="M746" s="51"/>
      <c r="N746" s="30"/>
      <c r="O746" s="30"/>
      <c r="P746" s="30"/>
      <c r="Q746" s="553"/>
    </row>
    <row r="747" spans="2:17">
      <c r="N747" s="30"/>
      <c r="O747" s="30"/>
      <c r="P747" s="30"/>
      <c r="Q747" s="553"/>
    </row>
    <row r="748" spans="2:17">
      <c r="N748" s="30"/>
      <c r="O748" s="30"/>
      <c r="P748" s="30"/>
      <c r="Q748" s="553"/>
    </row>
    <row r="749" spans="2:17">
      <c r="N749" s="30"/>
      <c r="O749" s="30"/>
      <c r="P749" s="30"/>
      <c r="Q749" s="553"/>
    </row>
    <row r="750" spans="2:17">
      <c r="N750" s="30"/>
      <c r="O750" s="30"/>
      <c r="P750" s="30"/>
      <c r="Q750" s="553"/>
    </row>
    <row r="751" spans="2:17">
      <c r="N751" s="30"/>
      <c r="O751" s="30"/>
      <c r="P751" s="30"/>
      <c r="Q751" s="553"/>
    </row>
    <row r="752" spans="2:17">
      <c r="N752" s="30"/>
      <c r="O752" s="30"/>
      <c r="P752" s="30"/>
      <c r="Q752" s="553"/>
    </row>
    <row r="753" spans="14:17">
      <c r="N753" s="30"/>
      <c r="O753" s="30"/>
      <c r="P753" s="30"/>
      <c r="Q753" s="553"/>
    </row>
    <row r="754" spans="14:17">
      <c r="N754" s="30"/>
      <c r="O754" s="30"/>
      <c r="P754" s="30"/>
      <c r="Q754" s="553"/>
    </row>
    <row r="755" spans="14:17">
      <c r="N755" s="30"/>
      <c r="O755" s="30"/>
      <c r="P755" s="30"/>
      <c r="Q755" s="553"/>
    </row>
    <row r="756" spans="14:17">
      <c r="N756" s="30"/>
      <c r="O756" s="30"/>
      <c r="P756" s="30"/>
      <c r="Q756" s="553"/>
    </row>
    <row r="757" spans="14:17">
      <c r="N757" s="30"/>
      <c r="O757" s="30"/>
      <c r="P757" s="30"/>
      <c r="Q757" s="553"/>
    </row>
    <row r="758" spans="14:17">
      <c r="N758" s="30"/>
      <c r="O758" s="30"/>
      <c r="P758" s="30"/>
      <c r="Q758" s="553"/>
    </row>
    <row r="759" spans="14:17">
      <c r="N759" s="30"/>
      <c r="O759" s="30"/>
      <c r="P759" s="30"/>
      <c r="Q759" s="553"/>
    </row>
    <row r="760" spans="14:17">
      <c r="N760" s="30"/>
      <c r="O760" s="30"/>
      <c r="P760" s="30"/>
      <c r="Q760" s="553"/>
    </row>
    <row r="761" spans="14:17">
      <c r="N761" s="30"/>
      <c r="O761" s="30"/>
      <c r="P761" s="30"/>
      <c r="Q761" s="553"/>
    </row>
    <row r="762" spans="14:17">
      <c r="N762" s="30"/>
      <c r="O762" s="30"/>
      <c r="P762" s="30"/>
      <c r="Q762" s="553"/>
    </row>
    <row r="763" spans="14:17">
      <c r="N763" s="30"/>
      <c r="O763" s="30"/>
      <c r="P763" s="30"/>
      <c r="Q763" s="553"/>
    </row>
    <row r="764" spans="14:17">
      <c r="N764" s="30"/>
      <c r="O764" s="30"/>
      <c r="P764" s="30"/>
      <c r="Q764" s="553"/>
    </row>
    <row r="765" spans="14:17">
      <c r="N765" s="30"/>
      <c r="O765" s="30"/>
      <c r="P765" s="30"/>
      <c r="Q765" s="553"/>
    </row>
    <row r="766" spans="14:17">
      <c r="N766" s="30"/>
      <c r="O766" s="30"/>
      <c r="P766" s="30"/>
      <c r="Q766" s="553"/>
    </row>
    <row r="767" spans="14:17">
      <c r="N767" s="30"/>
      <c r="O767" s="30"/>
      <c r="P767" s="30"/>
      <c r="Q767" s="553"/>
    </row>
    <row r="768" spans="14:17">
      <c r="N768" s="30"/>
      <c r="O768" s="30"/>
      <c r="P768" s="30"/>
      <c r="Q768" s="553"/>
    </row>
    <row r="769" spans="14:17">
      <c r="N769" s="30"/>
      <c r="O769" s="30"/>
      <c r="P769" s="30"/>
      <c r="Q769" s="553"/>
    </row>
    <row r="770" spans="14:17">
      <c r="N770" s="30"/>
      <c r="O770" s="30"/>
      <c r="P770" s="30"/>
      <c r="Q770" s="553"/>
    </row>
    <row r="771" spans="14:17">
      <c r="N771" s="30"/>
      <c r="O771" s="30"/>
      <c r="P771" s="30"/>
      <c r="Q771" s="553"/>
    </row>
    <row r="772" spans="14:17">
      <c r="N772" s="30"/>
      <c r="O772" s="30"/>
      <c r="P772" s="30"/>
      <c r="Q772" s="553"/>
    </row>
    <row r="773" spans="14:17">
      <c r="N773" s="30"/>
      <c r="O773" s="30"/>
      <c r="P773" s="30"/>
      <c r="Q773" s="553"/>
    </row>
    <row r="774" spans="14:17">
      <c r="N774" s="30"/>
      <c r="O774" s="30"/>
      <c r="P774" s="30"/>
      <c r="Q774" s="553"/>
    </row>
    <row r="775" spans="14:17">
      <c r="N775" s="30"/>
      <c r="O775" s="30"/>
      <c r="P775" s="30"/>
      <c r="Q775" s="553"/>
    </row>
    <row r="776" spans="14:17">
      <c r="N776" s="30"/>
      <c r="O776" s="30"/>
      <c r="P776" s="30"/>
      <c r="Q776" s="553"/>
    </row>
    <row r="777" spans="14:17">
      <c r="N777" s="30"/>
      <c r="O777" s="30"/>
      <c r="P777" s="30"/>
      <c r="Q777" s="553"/>
    </row>
    <row r="778" spans="14:17">
      <c r="N778" s="30"/>
      <c r="O778" s="30"/>
      <c r="P778" s="30"/>
      <c r="Q778" s="553"/>
    </row>
    <row r="779" spans="14:17">
      <c r="N779" s="30"/>
      <c r="O779" s="30"/>
      <c r="P779" s="30"/>
      <c r="Q779" s="553"/>
    </row>
    <row r="780" spans="14:17">
      <c r="N780" s="30"/>
      <c r="O780" s="30"/>
      <c r="P780" s="30"/>
      <c r="Q780" s="553"/>
    </row>
    <row r="781" spans="14:17">
      <c r="N781" s="30"/>
      <c r="O781" s="30"/>
      <c r="P781" s="30"/>
      <c r="Q781" s="553"/>
    </row>
    <row r="782" spans="14:17">
      <c r="N782" s="30"/>
      <c r="O782" s="30"/>
      <c r="P782" s="30"/>
      <c r="Q782" s="553"/>
    </row>
    <row r="783" spans="14:17">
      <c r="N783" s="30"/>
      <c r="O783" s="30"/>
      <c r="P783" s="30"/>
      <c r="Q783" s="553"/>
    </row>
    <row r="784" spans="14:17">
      <c r="N784" s="30"/>
      <c r="O784" s="30"/>
      <c r="P784" s="30"/>
      <c r="Q784" s="553"/>
    </row>
    <row r="785" spans="14:17">
      <c r="N785" s="30"/>
      <c r="O785" s="30"/>
      <c r="P785" s="30"/>
      <c r="Q785" s="553"/>
    </row>
    <row r="786" spans="14:17">
      <c r="N786" s="30"/>
      <c r="O786" s="30"/>
      <c r="P786" s="30"/>
      <c r="Q786" s="553"/>
    </row>
    <row r="787" spans="14:17">
      <c r="N787" s="30"/>
      <c r="O787" s="30"/>
      <c r="P787" s="30"/>
      <c r="Q787" s="553"/>
    </row>
    <row r="788" spans="14:17">
      <c r="N788" s="30"/>
      <c r="O788" s="30"/>
      <c r="P788" s="30"/>
      <c r="Q788" s="553"/>
    </row>
    <row r="789" spans="14:17">
      <c r="N789" s="30"/>
      <c r="O789" s="30"/>
      <c r="P789" s="30"/>
      <c r="Q789" s="553"/>
    </row>
    <row r="790" spans="14:17">
      <c r="N790" s="30"/>
      <c r="O790" s="30"/>
      <c r="P790" s="30"/>
      <c r="Q790" s="553"/>
    </row>
    <row r="791" spans="14:17">
      <c r="N791" s="30"/>
      <c r="O791" s="30"/>
      <c r="P791" s="30"/>
      <c r="Q791" s="553"/>
    </row>
    <row r="792" spans="14:17">
      <c r="N792" s="30"/>
      <c r="O792" s="30"/>
      <c r="P792" s="30"/>
      <c r="Q792" s="553"/>
    </row>
    <row r="793" spans="14:17">
      <c r="N793" s="30"/>
      <c r="O793" s="30"/>
      <c r="P793" s="30"/>
      <c r="Q793" s="553"/>
    </row>
    <row r="794" spans="14:17">
      <c r="N794" s="30"/>
      <c r="O794" s="30"/>
      <c r="P794" s="30"/>
      <c r="Q794" s="553"/>
    </row>
    <row r="795" spans="14:17">
      <c r="N795" s="30"/>
      <c r="O795" s="30"/>
      <c r="P795" s="30"/>
      <c r="Q795" s="553"/>
    </row>
    <row r="796" spans="14:17">
      <c r="N796" s="30"/>
      <c r="O796" s="30"/>
      <c r="P796" s="30"/>
      <c r="Q796" s="553"/>
    </row>
    <row r="797" spans="14:17">
      <c r="N797" s="30"/>
      <c r="O797" s="30"/>
      <c r="P797" s="30"/>
      <c r="Q797" s="553"/>
    </row>
    <row r="798" spans="14:17">
      <c r="N798" s="30"/>
      <c r="O798" s="30"/>
      <c r="P798" s="30"/>
      <c r="Q798" s="553"/>
    </row>
    <row r="799" spans="14:17">
      <c r="N799" s="30"/>
      <c r="O799" s="30"/>
      <c r="P799" s="30"/>
      <c r="Q799" s="553"/>
    </row>
    <row r="800" spans="14:17">
      <c r="N800" s="30"/>
      <c r="O800" s="30"/>
      <c r="P800" s="30"/>
      <c r="Q800" s="553"/>
    </row>
    <row r="801" spans="14:17">
      <c r="N801" s="30"/>
      <c r="O801" s="30"/>
      <c r="P801" s="30"/>
      <c r="Q801" s="553"/>
    </row>
    <row r="802" spans="14:17">
      <c r="N802" s="30"/>
      <c r="O802" s="30"/>
      <c r="P802" s="30"/>
      <c r="Q802" s="553"/>
    </row>
    <row r="803" spans="14:17">
      <c r="N803" s="30"/>
      <c r="O803" s="30"/>
      <c r="P803" s="30"/>
      <c r="Q803" s="553"/>
    </row>
    <row r="804" spans="14:17">
      <c r="N804" s="30"/>
      <c r="O804" s="30"/>
      <c r="P804" s="30"/>
      <c r="Q804" s="553"/>
    </row>
    <row r="805" spans="14:17">
      <c r="N805" s="30"/>
      <c r="O805" s="30"/>
      <c r="P805" s="30"/>
      <c r="Q805" s="553"/>
    </row>
    <row r="806" spans="14:17">
      <c r="N806" s="30"/>
      <c r="O806" s="30"/>
      <c r="P806" s="30"/>
      <c r="Q806" s="553"/>
    </row>
    <row r="807" spans="14:17">
      <c r="N807" s="30"/>
      <c r="O807" s="30"/>
      <c r="P807" s="30"/>
      <c r="Q807" s="553"/>
    </row>
    <row r="808" spans="14:17">
      <c r="N808" s="30"/>
      <c r="O808" s="30"/>
      <c r="P808" s="30"/>
      <c r="Q808" s="553"/>
    </row>
    <row r="809" spans="14:17">
      <c r="N809" s="30"/>
      <c r="O809" s="30"/>
      <c r="P809" s="30"/>
      <c r="Q809" s="553"/>
    </row>
    <row r="810" spans="14:17">
      <c r="N810" s="30"/>
      <c r="O810" s="30"/>
      <c r="P810" s="30"/>
      <c r="Q810" s="553"/>
    </row>
    <row r="811" spans="14:17">
      <c r="N811" s="30"/>
      <c r="O811" s="30"/>
      <c r="P811" s="30"/>
      <c r="Q811" s="553"/>
    </row>
    <row r="812" spans="14:17">
      <c r="N812" s="30"/>
      <c r="O812" s="30"/>
      <c r="P812" s="30"/>
      <c r="Q812" s="553"/>
    </row>
    <row r="813" spans="14:17">
      <c r="N813" s="30"/>
      <c r="O813" s="30"/>
      <c r="P813" s="30"/>
      <c r="Q813" s="553"/>
    </row>
    <row r="814" spans="14:17">
      <c r="N814" s="30"/>
      <c r="O814" s="30"/>
      <c r="P814" s="30"/>
      <c r="Q814" s="553"/>
    </row>
    <row r="815" spans="14:17">
      <c r="N815" s="30"/>
      <c r="O815" s="30"/>
      <c r="P815" s="30"/>
      <c r="Q815" s="553"/>
    </row>
    <row r="816" spans="14:17">
      <c r="N816" s="30"/>
      <c r="O816" s="30"/>
      <c r="P816" s="30"/>
      <c r="Q816" s="553"/>
    </row>
    <row r="817" spans="14:17">
      <c r="N817" s="30"/>
      <c r="O817" s="30"/>
      <c r="P817" s="30"/>
      <c r="Q817" s="553"/>
    </row>
    <row r="818" spans="14:17">
      <c r="N818" s="30"/>
      <c r="O818" s="30"/>
      <c r="P818" s="30"/>
      <c r="Q818" s="553"/>
    </row>
    <row r="819" spans="14:17">
      <c r="N819" s="30"/>
      <c r="O819" s="30"/>
      <c r="P819" s="30"/>
      <c r="Q819" s="553"/>
    </row>
    <row r="820" spans="14:17">
      <c r="N820" s="30"/>
      <c r="O820" s="30"/>
      <c r="P820" s="30"/>
      <c r="Q820" s="553"/>
    </row>
    <row r="821" spans="14:17">
      <c r="N821" s="30"/>
      <c r="O821" s="30"/>
      <c r="P821" s="30"/>
      <c r="Q821" s="553"/>
    </row>
    <row r="822" spans="14:17">
      <c r="N822" s="30"/>
      <c r="O822" s="30"/>
      <c r="P822" s="30"/>
      <c r="Q822" s="553"/>
    </row>
    <row r="823" spans="14:17">
      <c r="N823" s="30"/>
      <c r="O823" s="30"/>
      <c r="P823" s="30"/>
      <c r="Q823" s="553"/>
    </row>
    <row r="824" spans="14:17">
      <c r="N824" s="30"/>
      <c r="O824" s="30"/>
      <c r="P824" s="30"/>
      <c r="Q824" s="553"/>
    </row>
    <row r="825" spans="14:17">
      <c r="N825" s="30"/>
      <c r="O825" s="30"/>
      <c r="P825" s="30"/>
      <c r="Q825" s="553"/>
    </row>
    <row r="826" spans="14:17">
      <c r="N826" s="30"/>
      <c r="O826" s="30"/>
      <c r="P826" s="30"/>
      <c r="Q826" s="553"/>
    </row>
    <row r="827" spans="14:17">
      <c r="N827" s="30"/>
      <c r="O827" s="30"/>
      <c r="P827" s="30"/>
      <c r="Q827" s="553"/>
    </row>
    <row r="828" spans="14:17">
      <c r="N828" s="30"/>
      <c r="O828" s="30"/>
      <c r="P828" s="30"/>
      <c r="Q828" s="553"/>
    </row>
    <row r="829" spans="14:17">
      <c r="N829" s="30"/>
      <c r="O829" s="30"/>
      <c r="P829" s="30"/>
      <c r="Q829" s="553"/>
    </row>
    <row r="830" spans="14:17">
      <c r="N830" s="30"/>
      <c r="O830" s="30"/>
      <c r="P830" s="30"/>
      <c r="Q830" s="553"/>
    </row>
    <row r="831" spans="14:17">
      <c r="N831" s="30"/>
      <c r="O831" s="30"/>
      <c r="P831" s="30"/>
      <c r="Q831" s="553"/>
    </row>
    <row r="832" spans="14:17">
      <c r="N832" s="30"/>
      <c r="O832" s="30"/>
      <c r="P832" s="30"/>
      <c r="Q832" s="553"/>
    </row>
    <row r="833" spans="14:17">
      <c r="N833" s="30"/>
      <c r="O833" s="30"/>
      <c r="P833" s="30"/>
      <c r="Q833" s="553"/>
    </row>
    <row r="834" spans="14:17">
      <c r="N834" s="30"/>
      <c r="O834" s="30"/>
      <c r="P834" s="30"/>
      <c r="Q834" s="553"/>
    </row>
    <row r="835" spans="14:17">
      <c r="N835" s="30"/>
      <c r="O835" s="30"/>
      <c r="P835" s="30"/>
      <c r="Q835" s="553"/>
    </row>
    <row r="836" spans="14:17">
      <c r="N836" s="30"/>
      <c r="O836" s="30"/>
      <c r="P836" s="30"/>
      <c r="Q836" s="553"/>
    </row>
    <row r="837" spans="14:17">
      <c r="N837" s="30"/>
      <c r="O837" s="30"/>
      <c r="P837" s="30"/>
      <c r="Q837" s="553"/>
    </row>
    <row r="838" spans="14:17">
      <c r="N838" s="30"/>
      <c r="O838" s="30"/>
      <c r="P838" s="30"/>
      <c r="Q838" s="553"/>
    </row>
    <row r="839" spans="14:17">
      <c r="N839" s="30"/>
      <c r="O839" s="30"/>
      <c r="P839" s="30"/>
      <c r="Q839" s="553"/>
    </row>
    <row r="840" spans="14:17">
      <c r="N840" s="30"/>
      <c r="O840" s="30"/>
      <c r="P840" s="30"/>
      <c r="Q840" s="553"/>
    </row>
    <row r="841" spans="14:17">
      <c r="N841" s="30"/>
      <c r="O841" s="30"/>
      <c r="P841" s="30"/>
      <c r="Q841" s="553"/>
    </row>
    <row r="842" spans="14:17">
      <c r="N842" s="30"/>
      <c r="O842" s="30"/>
      <c r="P842" s="30"/>
      <c r="Q842" s="553"/>
    </row>
    <row r="843" spans="14:17">
      <c r="N843" s="30"/>
      <c r="O843" s="30"/>
      <c r="P843" s="30"/>
      <c r="Q843" s="553"/>
    </row>
    <row r="844" spans="14:17">
      <c r="N844" s="30"/>
      <c r="O844" s="30"/>
      <c r="P844" s="30"/>
      <c r="Q844" s="553"/>
    </row>
    <row r="845" spans="14:17">
      <c r="N845" s="30"/>
      <c r="O845" s="30"/>
      <c r="P845" s="30"/>
      <c r="Q845" s="553"/>
    </row>
    <row r="846" spans="14:17">
      <c r="N846" s="30"/>
      <c r="O846" s="30"/>
      <c r="P846" s="30"/>
      <c r="Q846" s="553"/>
    </row>
    <row r="847" spans="14:17">
      <c r="N847" s="30"/>
      <c r="O847" s="30"/>
      <c r="P847" s="30"/>
      <c r="Q847" s="553"/>
    </row>
    <row r="848" spans="14:17">
      <c r="N848" s="30"/>
      <c r="O848" s="30"/>
      <c r="P848" s="30"/>
      <c r="Q848" s="553"/>
    </row>
    <row r="849" spans="14:17">
      <c r="N849" s="30"/>
      <c r="O849" s="30"/>
      <c r="P849" s="30"/>
      <c r="Q849" s="553"/>
    </row>
    <row r="850" spans="14:17">
      <c r="N850" s="30"/>
      <c r="O850" s="30"/>
      <c r="P850" s="30"/>
      <c r="Q850" s="553"/>
    </row>
    <row r="851" spans="14:17">
      <c r="N851" s="30"/>
      <c r="O851" s="30"/>
      <c r="P851" s="30"/>
      <c r="Q851" s="553"/>
    </row>
    <row r="852" spans="14:17">
      <c r="N852" s="30"/>
      <c r="O852" s="30"/>
      <c r="P852" s="30"/>
      <c r="Q852" s="553"/>
    </row>
    <row r="853" spans="14:17">
      <c r="N853" s="30"/>
      <c r="O853" s="30"/>
      <c r="P853" s="30"/>
      <c r="Q853" s="553"/>
    </row>
    <row r="854" spans="14:17">
      <c r="N854" s="30"/>
      <c r="O854" s="30"/>
      <c r="P854" s="30"/>
      <c r="Q854" s="553"/>
    </row>
    <row r="855" spans="14:17">
      <c r="N855" s="30"/>
      <c r="O855" s="30"/>
      <c r="P855" s="30"/>
      <c r="Q855" s="553"/>
    </row>
    <row r="856" spans="14:17">
      <c r="N856" s="30"/>
      <c r="O856" s="30"/>
      <c r="P856" s="30"/>
      <c r="Q856" s="553"/>
    </row>
    <row r="857" spans="14:17">
      <c r="N857" s="30"/>
      <c r="O857" s="30"/>
      <c r="P857" s="30"/>
      <c r="Q857" s="553"/>
    </row>
    <row r="858" spans="14:17">
      <c r="N858" s="30"/>
      <c r="O858" s="30"/>
      <c r="P858" s="30"/>
      <c r="Q858" s="553"/>
    </row>
    <row r="859" spans="14:17">
      <c r="N859" s="30"/>
      <c r="O859" s="30"/>
      <c r="P859" s="30"/>
      <c r="Q859" s="553"/>
    </row>
    <row r="860" spans="14:17">
      <c r="N860" s="30"/>
      <c r="O860" s="30"/>
      <c r="P860" s="30"/>
      <c r="Q860" s="553"/>
    </row>
    <row r="861" spans="14:17">
      <c r="N861" s="30"/>
      <c r="O861" s="30"/>
      <c r="P861" s="30"/>
      <c r="Q861" s="553"/>
    </row>
    <row r="862" spans="14:17">
      <c r="N862" s="30"/>
      <c r="O862" s="30"/>
      <c r="P862" s="30"/>
      <c r="Q862" s="553"/>
    </row>
    <row r="863" spans="14:17">
      <c r="N863" s="30"/>
      <c r="O863" s="30"/>
      <c r="P863" s="30"/>
      <c r="Q863" s="553"/>
    </row>
    <row r="864" spans="14:17">
      <c r="N864" s="30"/>
      <c r="O864" s="30"/>
      <c r="P864" s="30"/>
      <c r="Q864" s="553"/>
    </row>
    <row r="865" spans="14:17">
      <c r="N865" s="30"/>
      <c r="O865" s="30"/>
      <c r="P865" s="30"/>
      <c r="Q865" s="553"/>
    </row>
    <row r="866" spans="14:17">
      <c r="N866" s="30"/>
      <c r="O866" s="30"/>
      <c r="P866" s="30"/>
      <c r="Q866" s="553"/>
    </row>
    <row r="867" spans="14:17">
      <c r="N867" s="30"/>
      <c r="O867" s="30"/>
      <c r="P867" s="30"/>
      <c r="Q867" s="553"/>
    </row>
    <row r="868" spans="14:17">
      <c r="N868" s="30"/>
      <c r="O868" s="30"/>
      <c r="P868" s="30"/>
      <c r="Q868" s="553"/>
    </row>
    <row r="869" spans="14:17">
      <c r="N869" s="30"/>
      <c r="O869" s="30"/>
      <c r="P869" s="30"/>
      <c r="Q869" s="553"/>
    </row>
    <row r="870" spans="14:17">
      <c r="N870" s="30"/>
      <c r="O870" s="30"/>
      <c r="P870" s="30"/>
      <c r="Q870" s="553"/>
    </row>
    <row r="871" spans="14:17">
      <c r="N871" s="30"/>
      <c r="O871" s="30"/>
      <c r="P871" s="30"/>
      <c r="Q871" s="553"/>
    </row>
    <row r="872" spans="14:17">
      <c r="N872" s="30"/>
      <c r="O872" s="30"/>
      <c r="P872" s="30"/>
      <c r="Q872" s="553"/>
    </row>
    <row r="873" spans="14:17">
      <c r="N873" s="30"/>
      <c r="O873" s="30"/>
      <c r="P873" s="30"/>
      <c r="Q873" s="553"/>
    </row>
    <row r="874" spans="14:17">
      <c r="N874" s="30"/>
      <c r="O874" s="30"/>
      <c r="P874" s="30"/>
      <c r="Q874" s="553"/>
    </row>
    <row r="875" spans="14:17">
      <c r="N875" s="30"/>
      <c r="O875" s="30"/>
      <c r="P875" s="30"/>
      <c r="Q875" s="553"/>
    </row>
    <row r="876" spans="14:17">
      <c r="N876" s="30"/>
      <c r="O876" s="30"/>
      <c r="P876" s="30"/>
      <c r="Q876" s="553"/>
    </row>
    <row r="877" spans="14:17">
      <c r="N877" s="30"/>
      <c r="O877" s="30"/>
      <c r="P877" s="30"/>
      <c r="Q877" s="553"/>
    </row>
    <row r="878" spans="14:17">
      <c r="N878" s="30"/>
      <c r="O878" s="30"/>
      <c r="P878" s="30"/>
      <c r="Q878" s="553"/>
    </row>
    <row r="879" spans="14:17">
      <c r="N879" s="30"/>
      <c r="O879" s="30"/>
      <c r="P879" s="30"/>
      <c r="Q879" s="553"/>
    </row>
    <row r="880" spans="14:17">
      <c r="N880" s="30"/>
      <c r="O880" s="30"/>
      <c r="P880" s="30"/>
      <c r="Q880" s="553"/>
    </row>
    <row r="881" spans="14:17">
      <c r="N881" s="30"/>
      <c r="O881" s="30"/>
      <c r="P881" s="30"/>
      <c r="Q881" s="553"/>
    </row>
    <row r="882" spans="14:17">
      <c r="N882" s="30"/>
      <c r="O882" s="30"/>
      <c r="P882" s="30"/>
      <c r="Q882" s="553"/>
    </row>
    <row r="883" spans="14:17">
      <c r="N883" s="30"/>
      <c r="O883" s="30"/>
      <c r="P883" s="30"/>
      <c r="Q883" s="553"/>
    </row>
    <row r="884" spans="14:17">
      <c r="N884" s="30"/>
      <c r="O884" s="30"/>
      <c r="P884" s="30"/>
      <c r="Q884" s="553"/>
    </row>
    <row r="885" spans="14:17">
      <c r="N885" s="30"/>
      <c r="O885" s="30"/>
      <c r="P885" s="30"/>
      <c r="Q885" s="553"/>
    </row>
    <row r="886" spans="14:17">
      <c r="N886" s="30"/>
      <c r="O886" s="30"/>
      <c r="P886" s="30"/>
      <c r="Q886" s="553"/>
    </row>
    <row r="887" spans="14:17">
      <c r="N887" s="30"/>
      <c r="O887" s="30"/>
      <c r="P887" s="30"/>
      <c r="Q887" s="553"/>
    </row>
    <row r="888" spans="14:17">
      <c r="N888" s="30"/>
      <c r="O888" s="30"/>
      <c r="P888" s="30"/>
      <c r="Q888" s="553"/>
    </row>
    <row r="889" spans="14:17">
      <c r="N889" s="30"/>
      <c r="O889" s="30"/>
      <c r="P889" s="30"/>
      <c r="Q889" s="553"/>
    </row>
    <row r="890" spans="14:17">
      <c r="N890" s="30"/>
      <c r="O890" s="30"/>
      <c r="P890" s="30"/>
      <c r="Q890" s="553"/>
    </row>
    <row r="891" spans="14:17">
      <c r="N891" s="30"/>
      <c r="O891" s="30"/>
      <c r="P891" s="30"/>
      <c r="Q891" s="553"/>
    </row>
    <row r="892" spans="14:17">
      <c r="N892" s="30"/>
      <c r="O892" s="30"/>
      <c r="P892" s="30"/>
      <c r="Q892" s="553"/>
    </row>
    <row r="893" spans="14:17">
      <c r="N893" s="30"/>
      <c r="O893" s="30"/>
      <c r="P893" s="30"/>
      <c r="Q893" s="553"/>
    </row>
    <row r="894" spans="14:17">
      <c r="N894" s="30"/>
      <c r="O894" s="30"/>
      <c r="P894" s="30"/>
      <c r="Q894" s="553"/>
    </row>
    <row r="895" spans="14:17">
      <c r="N895" s="30"/>
      <c r="O895" s="30"/>
      <c r="P895" s="30"/>
      <c r="Q895" s="553"/>
    </row>
    <row r="896" spans="14:17">
      <c r="N896" s="30"/>
      <c r="O896" s="30"/>
      <c r="P896" s="30"/>
      <c r="Q896" s="553"/>
    </row>
    <row r="897" spans="14:17">
      <c r="N897" s="30"/>
      <c r="O897" s="30"/>
      <c r="P897" s="30"/>
      <c r="Q897" s="553"/>
    </row>
    <row r="898" spans="14:17">
      <c r="N898" s="30"/>
      <c r="O898" s="30"/>
      <c r="P898" s="30"/>
      <c r="Q898" s="553"/>
    </row>
    <row r="899" spans="14:17">
      <c r="N899" s="30"/>
      <c r="O899" s="30"/>
      <c r="P899" s="30"/>
      <c r="Q899" s="553"/>
    </row>
    <row r="900" spans="14:17">
      <c r="N900" s="30"/>
      <c r="O900" s="30"/>
      <c r="P900" s="30"/>
      <c r="Q900" s="553"/>
    </row>
    <row r="901" spans="14:17">
      <c r="N901" s="30"/>
      <c r="O901" s="30"/>
      <c r="P901" s="30"/>
      <c r="Q901" s="553"/>
    </row>
    <row r="902" spans="14:17">
      <c r="N902" s="30"/>
      <c r="O902" s="30"/>
      <c r="P902" s="30"/>
      <c r="Q902" s="553"/>
    </row>
    <row r="903" spans="14:17">
      <c r="N903" s="30"/>
      <c r="O903" s="30"/>
      <c r="P903" s="30"/>
      <c r="Q903" s="553"/>
    </row>
    <row r="904" spans="14:17">
      <c r="N904" s="30"/>
      <c r="O904" s="30"/>
      <c r="P904" s="30"/>
      <c r="Q904" s="553"/>
    </row>
    <row r="905" spans="14:17">
      <c r="N905" s="30"/>
      <c r="O905" s="30"/>
      <c r="P905" s="30"/>
      <c r="Q905" s="553"/>
    </row>
    <row r="906" spans="14:17">
      <c r="N906" s="30"/>
      <c r="O906" s="30"/>
      <c r="P906" s="30"/>
      <c r="Q906" s="553"/>
    </row>
    <row r="907" spans="14:17">
      <c r="N907" s="30"/>
      <c r="O907" s="30"/>
      <c r="P907" s="30"/>
      <c r="Q907" s="553"/>
    </row>
    <row r="908" spans="14:17">
      <c r="N908" s="30"/>
      <c r="O908" s="30"/>
      <c r="P908" s="30"/>
      <c r="Q908" s="553"/>
    </row>
    <row r="909" spans="14:17">
      <c r="N909" s="30"/>
      <c r="O909" s="30"/>
      <c r="P909" s="30"/>
      <c r="Q909" s="553"/>
    </row>
    <row r="910" spans="14:17">
      <c r="N910" s="30"/>
      <c r="O910" s="30"/>
      <c r="P910" s="30"/>
      <c r="Q910" s="553"/>
    </row>
    <row r="911" spans="14:17">
      <c r="N911" s="30"/>
      <c r="O911" s="30"/>
      <c r="P911" s="30"/>
      <c r="Q911" s="553"/>
    </row>
    <row r="912" spans="14:17">
      <c r="N912" s="30"/>
      <c r="O912" s="30"/>
      <c r="P912" s="30"/>
      <c r="Q912" s="553"/>
    </row>
    <row r="913" spans="14:17">
      <c r="N913" s="30"/>
      <c r="O913" s="30"/>
      <c r="P913" s="30"/>
      <c r="Q913" s="553"/>
    </row>
    <row r="914" spans="14:17">
      <c r="N914" s="30"/>
      <c r="O914" s="30"/>
      <c r="P914" s="30"/>
      <c r="Q914" s="553"/>
    </row>
    <row r="915" spans="14:17">
      <c r="N915" s="30"/>
      <c r="O915" s="30"/>
      <c r="P915" s="30"/>
      <c r="Q915" s="553"/>
    </row>
    <row r="916" spans="14:17">
      <c r="N916" s="30"/>
      <c r="O916" s="30"/>
      <c r="P916" s="30"/>
      <c r="Q916" s="553"/>
    </row>
    <row r="917" spans="14:17">
      <c r="N917" s="30"/>
      <c r="O917" s="30"/>
      <c r="P917" s="30"/>
      <c r="Q917" s="553"/>
    </row>
    <row r="918" spans="14:17">
      <c r="N918" s="30"/>
      <c r="O918" s="30"/>
      <c r="P918" s="30"/>
      <c r="Q918" s="553"/>
    </row>
    <row r="919" spans="14:17">
      <c r="N919" s="30"/>
      <c r="O919" s="30"/>
      <c r="P919" s="30"/>
      <c r="Q919" s="553"/>
    </row>
    <row r="920" spans="14:17">
      <c r="N920" s="30"/>
      <c r="O920" s="30"/>
      <c r="P920" s="30"/>
      <c r="Q920" s="553"/>
    </row>
    <row r="921" spans="14:17">
      <c r="N921" s="30"/>
      <c r="O921" s="30"/>
      <c r="P921" s="30"/>
      <c r="Q921" s="553"/>
    </row>
    <row r="922" spans="14:17">
      <c r="N922" s="30"/>
      <c r="O922" s="30"/>
      <c r="P922" s="30"/>
      <c r="Q922" s="553"/>
    </row>
    <row r="923" spans="14:17">
      <c r="N923" s="30"/>
      <c r="O923" s="30"/>
      <c r="P923" s="30"/>
      <c r="Q923" s="553"/>
    </row>
    <row r="924" spans="14:17">
      <c r="N924" s="30"/>
      <c r="O924" s="30"/>
      <c r="P924" s="30"/>
      <c r="Q924" s="553"/>
    </row>
    <row r="925" spans="14:17">
      <c r="N925" s="30"/>
      <c r="O925" s="30"/>
      <c r="P925" s="30"/>
      <c r="Q925" s="553"/>
    </row>
    <row r="926" spans="14:17">
      <c r="N926" s="30"/>
      <c r="O926" s="30"/>
      <c r="P926" s="30"/>
      <c r="Q926" s="553"/>
    </row>
    <row r="927" spans="14:17">
      <c r="N927" s="30"/>
      <c r="O927" s="30"/>
      <c r="P927" s="30"/>
      <c r="Q927" s="553"/>
    </row>
    <row r="928" spans="14:17">
      <c r="N928" s="30"/>
      <c r="O928" s="30"/>
      <c r="P928" s="30"/>
      <c r="Q928" s="553"/>
    </row>
    <row r="929" spans="14:17">
      <c r="N929" s="30"/>
      <c r="O929" s="30"/>
      <c r="P929" s="30"/>
      <c r="Q929" s="553"/>
    </row>
    <row r="930" spans="14:17">
      <c r="N930" s="30"/>
      <c r="O930" s="30"/>
      <c r="P930" s="30"/>
      <c r="Q930" s="553"/>
    </row>
    <row r="931" spans="14:17">
      <c r="N931" s="30"/>
      <c r="O931" s="30"/>
      <c r="P931" s="30"/>
      <c r="Q931" s="553"/>
    </row>
    <row r="932" spans="14:17">
      <c r="N932" s="30"/>
      <c r="O932" s="30"/>
      <c r="P932" s="30"/>
      <c r="Q932" s="553"/>
    </row>
    <row r="933" spans="14:17">
      <c r="N933" s="30"/>
      <c r="O933" s="30"/>
      <c r="P933" s="30"/>
      <c r="Q933" s="553"/>
    </row>
    <row r="934" spans="14:17">
      <c r="N934" s="30"/>
      <c r="O934" s="30"/>
      <c r="P934" s="30"/>
      <c r="Q934" s="553"/>
    </row>
    <row r="935" spans="14:17">
      <c r="N935" s="30"/>
      <c r="O935" s="30"/>
      <c r="P935" s="30"/>
      <c r="Q935" s="553"/>
    </row>
    <row r="936" spans="14:17">
      <c r="N936" s="30"/>
      <c r="O936" s="30"/>
      <c r="P936" s="30"/>
      <c r="Q936" s="553"/>
    </row>
    <row r="937" spans="14:17">
      <c r="N937" s="30"/>
      <c r="O937" s="30"/>
      <c r="P937" s="30"/>
      <c r="Q937" s="553"/>
    </row>
    <row r="938" spans="14:17">
      <c r="N938" s="30"/>
      <c r="O938" s="30"/>
      <c r="P938" s="30"/>
      <c r="Q938" s="553"/>
    </row>
    <row r="939" spans="14:17">
      <c r="N939" s="30"/>
      <c r="O939" s="30"/>
      <c r="P939" s="30"/>
      <c r="Q939" s="553"/>
    </row>
    <row r="940" spans="14:17">
      <c r="N940" s="30"/>
      <c r="O940" s="30"/>
      <c r="P940" s="30"/>
      <c r="Q940" s="553"/>
    </row>
    <row r="941" spans="14:17">
      <c r="N941" s="30"/>
      <c r="O941" s="30"/>
      <c r="P941" s="30"/>
      <c r="Q941" s="553"/>
    </row>
    <row r="942" spans="14:17">
      <c r="N942" s="30"/>
      <c r="O942" s="30"/>
      <c r="P942" s="30"/>
      <c r="Q942" s="553"/>
    </row>
    <row r="943" spans="14:17">
      <c r="N943" s="30"/>
      <c r="O943" s="30"/>
      <c r="P943" s="30"/>
      <c r="Q943" s="553"/>
    </row>
    <row r="944" spans="14:17">
      <c r="N944" s="30"/>
      <c r="O944" s="30"/>
      <c r="P944" s="30"/>
      <c r="Q944" s="553"/>
    </row>
    <row r="945" spans="14:17">
      <c r="N945" s="30"/>
      <c r="O945" s="30"/>
      <c r="P945" s="30"/>
      <c r="Q945" s="553"/>
    </row>
    <row r="946" spans="14:17">
      <c r="N946" s="30"/>
      <c r="O946" s="30"/>
      <c r="P946" s="30"/>
      <c r="Q946" s="553"/>
    </row>
    <row r="947" spans="14:17">
      <c r="N947" s="30"/>
      <c r="O947" s="30"/>
      <c r="P947" s="30"/>
      <c r="Q947" s="553"/>
    </row>
    <row r="948" spans="14:17">
      <c r="N948" s="30"/>
      <c r="O948" s="30"/>
      <c r="P948" s="30"/>
      <c r="Q948" s="553"/>
    </row>
    <row r="949" spans="14:17">
      <c r="N949" s="30"/>
      <c r="O949" s="30"/>
      <c r="P949" s="30"/>
      <c r="Q949" s="553"/>
    </row>
    <row r="950" spans="14:17">
      <c r="N950" s="30"/>
      <c r="O950" s="30"/>
      <c r="P950" s="30"/>
      <c r="Q950" s="553"/>
    </row>
    <row r="951" spans="14:17">
      <c r="N951" s="30"/>
      <c r="O951" s="30"/>
      <c r="P951" s="30"/>
      <c r="Q951" s="553"/>
    </row>
    <row r="952" spans="14:17">
      <c r="N952" s="30"/>
      <c r="O952" s="30"/>
      <c r="P952" s="30"/>
      <c r="Q952" s="553"/>
    </row>
    <row r="953" spans="14:17">
      <c r="N953" s="30"/>
      <c r="O953" s="30"/>
      <c r="P953" s="30"/>
      <c r="Q953" s="553"/>
    </row>
    <row r="954" spans="14:17">
      <c r="N954" s="30"/>
      <c r="O954" s="30"/>
      <c r="P954" s="30"/>
      <c r="Q954" s="553"/>
    </row>
    <row r="955" spans="14:17">
      <c r="N955" s="30"/>
      <c r="O955" s="30"/>
      <c r="P955" s="30"/>
      <c r="Q955" s="553"/>
    </row>
    <row r="956" spans="14:17">
      <c r="N956" s="30"/>
      <c r="O956" s="30"/>
      <c r="P956" s="30"/>
      <c r="Q956" s="553"/>
    </row>
    <row r="957" spans="14:17">
      <c r="N957" s="30"/>
      <c r="O957" s="30"/>
      <c r="P957" s="30"/>
      <c r="Q957" s="553"/>
    </row>
    <row r="958" spans="14:17">
      <c r="N958" s="30"/>
      <c r="O958" s="30"/>
      <c r="P958" s="30"/>
      <c r="Q958" s="553"/>
    </row>
    <row r="959" spans="14:17">
      <c r="N959" s="30"/>
      <c r="O959" s="30"/>
      <c r="P959" s="30"/>
      <c r="Q959" s="553"/>
    </row>
    <row r="960" spans="14:17">
      <c r="N960" s="30"/>
      <c r="O960" s="30"/>
      <c r="P960" s="30"/>
      <c r="Q960" s="553"/>
    </row>
    <row r="961" spans="14:17">
      <c r="N961" s="30"/>
      <c r="O961" s="30"/>
      <c r="P961" s="30"/>
      <c r="Q961" s="553"/>
    </row>
    <row r="962" spans="14:17">
      <c r="N962" s="30"/>
      <c r="O962" s="30"/>
      <c r="P962" s="30"/>
      <c r="Q962" s="553"/>
    </row>
    <row r="963" spans="14:17">
      <c r="N963" s="30"/>
      <c r="O963" s="30"/>
      <c r="P963" s="30"/>
      <c r="Q963" s="553"/>
    </row>
    <row r="964" spans="14:17">
      <c r="N964" s="30"/>
      <c r="O964" s="30"/>
      <c r="P964" s="30"/>
      <c r="Q964" s="553"/>
    </row>
    <row r="965" spans="14:17">
      <c r="N965" s="30"/>
      <c r="O965" s="30"/>
      <c r="P965" s="30"/>
      <c r="Q965" s="553"/>
    </row>
    <row r="966" spans="14:17">
      <c r="N966" s="30"/>
      <c r="O966" s="30"/>
      <c r="P966" s="30"/>
      <c r="Q966" s="553"/>
    </row>
    <row r="967" spans="14:17">
      <c r="N967" s="30"/>
      <c r="O967" s="30"/>
      <c r="P967" s="30"/>
      <c r="Q967" s="553"/>
    </row>
    <row r="968" spans="14:17">
      <c r="N968" s="30"/>
      <c r="O968" s="30"/>
      <c r="P968" s="30"/>
      <c r="Q968" s="553"/>
    </row>
    <row r="969" spans="14:17">
      <c r="N969" s="30"/>
      <c r="O969" s="30"/>
      <c r="P969" s="30"/>
      <c r="Q969" s="553"/>
    </row>
    <row r="970" spans="14:17">
      <c r="N970" s="30"/>
      <c r="O970" s="30"/>
      <c r="P970" s="30"/>
      <c r="Q970" s="553"/>
    </row>
    <row r="971" spans="14:17">
      <c r="N971" s="30"/>
      <c r="O971" s="30"/>
      <c r="P971" s="30"/>
      <c r="Q971" s="553"/>
    </row>
    <row r="972" spans="14:17">
      <c r="N972" s="30"/>
      <c r="O972" s="30"/>
      <c r="P972" s="30"/>
      <c r="Q972" s="553"/>
    </row>
    <row r="973" spans="14:17">
      <c r="N973" s="30"/>
      <c r="O973" s="30"/>
      <c r="P973" s="30"/>
      <c r="Q973" s="553"/>
    </row>
    <row r="974" spans="14:17">
      <c r="N974" s="30"/>
      <c r="O974" s="30"/>
      <c r="P974" s="30"/>
      <c r="Q974" s="553"/>
    </row>
    <row r="975" spans="14:17">
      <c r="N975" s="30"/>
      <c r="O975" s="30"/>
      <c r="P975" s="30"/>
      <c r="Q975" s="553"/>
    </row>
    <row r="976" spans="14:17">
      <c r="N976" s="30"/>
      <c r="O976" s="30"/>
      <c r="P976" s="30"/>
      <c r="Q976" s="553"/>
    </row>
    <row r="977" spans="14:17">
      <c r="N977" s="30"/>
      <c r="O977" s="30"/>
      <c r="P977" s="30"/>
      <c r="Q977" s="553"/>
    </row>
    <row r="978" spans="14:17">
      <c r="N978" s="30"/>
      <c r="O978" s="30"/>
      <c r="P978" s="30"/>
      <c r="Q978" s="553"/>
    </row>
    <row r="979" spans="14:17">
      <c r="N979" s="30"/>
      <c r="O979" s="30"/>
      <c r="P979" s="30"/>
      <c r="Q979" s="553"/>
    </row>
    <row r="980" spans="14:17">
      <c r="N980" s="30"/>
      <c r="O980" s="30"/>
      <c r="P980" s="30"/>
      <c r="Q980" s="553"/>
    </row>
    <row r="981" spans="14:17">
      <c r="N981" s="30"/>
      <c r="O981" s="30"/>
      <c r="P981" s="30"/>
      <c r="Q981" s="553"/>
    </row>
    <row r="982" spans="14:17">
      <c r="N982" s="30"/>
      <c r="O982" s="30"/>
      <c r="P982" s="30"/>
      <c r="Q982" s="553"/>
    </row>
    <row r="983" spans="14:17">
      <c r="N983" s="30"/>
      <c r="O983" s="30"/>
      <c r="P983" s="30"/>
      <c r="Q983" s="553"/>
    </row>
    <row r="984" spans="14:17">
      <c r="N984" s="30"/>
      <c r="O984" s="30"/>
      <c r="P984" s="30"/>
      <c r="Q984" s="553"/>
    </row>
    <row r="985" spans="14:17">
      <c r="N985" s="30"/>
      <c r="O985" s="30"/>
      <c r="P985" s="30"/>
      <c r="Q985" s="553"/>
    </row>
    <row r="986" spans="14:17">
      <c r="N986" s="30"/>
      <c r="O986" s="30"/>
      <c r="P986" s="30"/>
      <c r="Q986" s="553"/>
    </row>
    <row r="987" spans="14:17">
      <c r="N987" s="30"/>
      <c r="O987" s="30"/>
      <c r="P987" s="30"/>
      <c r="Q987" s="553"/>
    </row>
    <row r="988" spans="14:17">
      <c r="N988" s="30"/>
      <c r="O988" s="30"/>
      <c r="P988" s="30"/>
      <c r="Q988" s="553"/>
    </row>
    <row r="989" spans="14:17">
      <c r="N989" s="30"/>
      <c r="O989" s="30"/>
      <c r="P989" s="30"/>
      <c r="Q989" s="553"/>
    </row>
    <row r="990" spans="14:17">
      <c r="N990" s="30"/>
      <c r="O990" s="30"/>
      <c r="P990" s="30"/>
      <c r="Q990" s="553"/>
    </row>
    <row r="991" spans="14:17">
      <c r="N991" s="30"/>
      <c r="O991" s="30"/>
      <c r="P991" s="30"/>
      <c r="Q991" s="553"/>
    </row>
    <row r="992" spans="14:17">
      <c r="N992" s="30"/>
      <c r="O992" s="30"/>
      <c r="P992" s="30"/>
      <c r="Q992" s="553"/>
    </row>
    <row r="993" spans="14:17">
      <c r="N993" s="30"/>
      <c r="O993" s="30"/>
      <c r="P993" s="30"/>
      <c r="Q993" s="553"/>
    </row>
    <row r="994" spans="14:17">
      <c r="N994" s="30"/>
      <c r="O994" s="30"/>
      <c r="P994" s="30"/>
      <c r="Q994" s="553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view="pageBreakPreview" zoomScaleSheetLayoutView="100" workbookViewId="0">
      <pane xSplit="2" ySplit="6" topLeftCell="C25" activePane="bottomRight" state="frozen"/>
      <selection pane="topRight" activeCell="C1" sqref="C1"/>
      <selection pane="bottomLeft" activeCell="A7" sqref="A7"/>
      <selection pane="bottomRight" activeCell="L12" sqref="L12"/>
    </sheetView>
  </sheetViews>
  <sheetFormatPr defaultColWidth="9.140625" defaultRowHeight="12.75"/>
  <cols>
    <col min="1" max="1" width="8" style="280" bestFit="1" customWidth="1"/>
    <col min="2" max="2" width="49.7109375" style="280" customWidth="1"/>
    <col min="3" max="3" width="5.5703125" style="312" bestFit="1" customWidth="1"/>
    <col min="4" max="5" width="4.28515625" style="312" bestFit="1" customWidth="1"/>
    <col min="6" max="6" width="13.5703125" style="312" bestFit="1" customWidth="1"/>
    <col min="7" max="7" width="11.42578125" style="281" bestFit="1" customWidth="1"/>
    <col min="8" max="9" width="13.140625" style="281" customWidth="1"/>
    <col min="10" max="10" width="11.28515625" style="281" customWidth="1"/>
    <col min="11" max="11" width="11.28515625" style="281" bestFit="1" customWidth="1"/>
    <col min="12" max="12" width="11.42578125" style="281" bestFit="1" customWidth="1"/>
    <col min="13" max="13" width="10" style="281" customWidth="1"/>
    <col min="14" max="14" width="14" style="280" bestFit="1" customWidth="1"/>
    <col min="15" max="15" width="15" style="280" customWidth="1"/>
    <col min="16" max="16" width="12.42578125" style="280" customWidth="1"/>
    <col min="17" max="16384" width="9.140625" style="280"/>
  </cols>
  <sheetData>
    <row r="1" spans="1:13" ht="21">
      <c r="B1" s="829" t="s">
        <v>292</v>
      </c>
      <c r="C1" s="829"/>
      <c r="D1" s="829"/>
      <c r="E1" s="829"/>
      <c r="F1" s="829"/>
      <c r="G1" s="829"/>
      <c r="H1" s="829"/>
      <c r="I1" s="829"/>
      <c r="J1" s="829"/>
      <c r="K1" s="829"/>
      <c r="L1" s="829"/>
    </row>
    <row r="2" spans="1:13" ht="21">
      <c r="B2" s="829" t="s">
        <v>235</v>
      </c>
      <c r="C2" s="829"/>
      <c r="D2" s="829"/>
      <c r="E2" s="829"/>
      <c r="F2" s="829"/>
      <c r="G2" s="829"/>
      <c r="H2" s="829"/>
      <c r="I2" s="829"/>
      <c r="J2" s="829"/>
      <c r="K2" s="829"/>
      <c r="L2" s="829"/>
    </row>
    <row r="3" spans="1:13" ht="21">
      <c r="B3" s="829" t="str">
        <f>封面!E10&amp;封面!H10&amp;封面!I10&amp;封面!J10&amp;封面!K10&amp;封面!L10</f>
        <v>中華民國112年9月份</v>
      </c>
      <c r="C3" s="829"/>
      <c r="D3" s="829"/>
      <c r="E3" s="829"/>
      <c r="F3" s="829"/>
      <c r="G3" s="829"/>
      <c r="H3" s="829"/>
      <c r="I3" s="829"/>
      <c r="J3" s="829"/>
      <c r="K3" s="829"/>
      <c r="L3" s="829"/>
    </row>
    <row r="4" spans="1:13" ht="21">
      <c r="B4" s="282" t="s">
        <v>307</v>
      </c>
      <c r="C4" s="283"/>
      <c r="D4" s="283"/>
      <c r="E4" s="283"/>
      <c r="F4" s="283"/>
      <c r="G4" s="284"/>
      <c r="H4" s="284"/>
      <c r="I4" s="284"/>
      <c r="J4" s="830"/>
      <c r="K4" s="830"/>
      <c r="L4" s="831"/>
    </row>
    <row r="5" spans="1:13" ht="16.5">
      <c r="A5" s="832" t="s">
        <v>236</v>
      </c>
      <c r="B5" s="833"/>
      <c r="C5" s="836" t="s">
        <v>237</v>
      </c>
      <c r="D5" s="836"/>
      <c r="E5" s="836"/>
      <c r="F5" s="837" t="s">
        <v>238</v>
      </c>
      <c r="G5" s="839" t="s">
        <v>239</v>
      </c>
      <c r="H5" s="840"/>
      <c r="I5" s="840"/>
      <c r="J5" s="840"/>
      <c r="K5" s="840"/>
      <c r="L5" s="841"/>
    </row>
    <row r="6" spans="1:13" ht="39.75" customHeight="1">
      <c r="A6" s="834"/>
      <c r="B6" s="835"/>
      <c r="C6" s="279" t="s">
        <v>240</v>
      </c>
      <c r="D6" s="279" t="s">
        <v>241</v>
      </c>
      <c r="E6" s="279" t="s">
        <v>242</v>
      </c>
      <c r="F6" s="838"/>
      <c r="G6" s="285" t="s">
        <v>285</v>
      </c>
      <c r="H6" s="285" t="s">
        <v>286</v>
      </c>
      <c r="I6" s="285" t="s">
        <v>287</v>
      </c>
      <c r="J6" s="285" t="s">
        <v>289</v>
      </c>
      <c r="K6" s="285" t="s">
        <v>288</v>
      </c>
      <c r="L6" s="285" t="s">
        <v>290</v>
      </c>
    </row>
    <row r="7" spans="1:13" ht="21">
      <c r="A7" s="842" t="s">
        <v>243</v>
      </c>
      <c r="B7" s="843"/>
      <c r="C7" s="279"/>
      <c r="D7" s="279"/>
      <c r="E7" s="279"/>
      <c r="F7" s="286"/>
      <c r="G7" s="844">
        <f>SUM(G8:L9)</f>
        <v>7274693</v>
      </c>
      <c r="H7" s="845"/>
      <c r="I7" s="845"/>
      <c r="J7" s="845"/>
      <c r="K7" s="845"/>
      <c r="L7" s="846"/>
      <c r="M7" s="292">
        <f>SUM(G7:L7)</f>
        <v>7274693</v>
      </c>
    </row>
    <row r="8" spans="1:13" ht="16.5">
      <c r="A8" s="842" t="s">
        <v>244</v>
      </c>
      <c r="B8" s="843"/>
      <c r="C8" s="287"/>
      <c r="D8" s="287"/>
      <c r="E8" s="287"/>
      <c r="F8" s="288"/>
      <c r="G8" s="289">
        <f>'勾稽 (2)'!D25</f>
        <v>3</v>
      </c>
      <c r="H8" s="289">
        <f>'勾稽 (2)'!D26</f>
        <v>3280369</v>
      </c>
      <c r="I8" s="289">
        <f>'勾稽 (2)'!D27</f>
        <v>1196645</v>
      </c>
      <c r="J8" s="289">
        <f>'勾稽 (2)'!D28</f>
        <v>897578</v>
      </c>
      <c r="K8" s="289">
        <f>'勾稽 (2)'!D29</f>
        <v>0</v>
      </c>
      <c r="L8" s="289">
        <f>'勾稽 (2)'!D30</f>
        <v>98</v>
      </c>
      <c r="M8" s="292">
        <f>SUM(G8:L8)</f>
        <v>5374693</v>
      </c>
    </row>
    <row r="9" spans="1:13" ht="16.5">
      <c r="A9" s="549"/>
      <c r="B9" s="550" t="s">
        <v>448</v>
      </c>
      <c r="C9" s="287"/>
      <c r="D9" s="287"/>
      <c r="E9" s="287"/>
      <c r="F9" s="288"/>
      <c r="G9" s="289"/>
      <c r="H9" s="289"/>
      <c r="I9" s="289"/>
      <c r="J9" s="289">
        <f>'勾稽 (2)'!E28</f>
        <v>1900000</v>
      </c>
      <c r="K9" s="289"/>
      <c r="L9" s="289"/>
      <c r="M9" s="292">
        <f>SUM(G9:L9)</f>
        <v>1900000</v>
      </c>
    </row>
    <row r="10" spans="1:13" ht="16.5">
      <c r="A10" s="842" t="s">
        <v>245</v>
      </c>
      <c r="B10" s="843"/>
      <c r="C10" s="290"/>
      <c r="D10" s="290"/>
      <c r="E10" s="290"/>
      <c r="F10" s="288"/>
      <c r="G10" s="291">
        <f t="shared" ref="G10:J10" si="0">SUM(G11:G13)</f>
        <v>0</v>
      </c>
      <c r="H10" s="291">
        <f t="shared" si="0"/>
        <v>1600</v>
      </c>
      <c r="I10" s="291">
        <f t="shared" si="0"/>
        <v>0</v>
      </c>
      <c r="J10" s="291">
        <f t="shared" si="0"/>
        <v>0</v>
      </c>
      <c r="K10" s="291">
        <f t="shared" ref="K10" si="1">SUM(K11:K13)</f>
        <v>0</v>
      </c>
      <c r="L10" s="291">
        <f>SUM(L11:L13)</f>
        <v>372778</v>
      </c>
      <c r="M10" s="292">
        <f>SUM(G10:L10)</f>
        <v>374378</v>
      </c>
    </row>
    <row r="11" spans="1:13" ht="16.5">
      <c r="A11" s="318" t="s">
        <v>246</v>
      </c>
      <c r="B11" s="319"/>
      <c r="C11" s="290"/>
      <c r="D11" s="290"/>
      <c r="E11" s="290"/>
      <c r="F11" s="288"/>
      <c r="G11" s="293"/>
      <c r="H11" s="293">
        <v>1600</v>
      </c>
      <c r="I11" s="293"/>
      <c r="J11" s="293"/>
      <c r="K11" s="293"/>
      <c r="L11" s="293">
        <v>372778</v>
      </c>
      <c r="M11" s="292"/>
    </row>
    <row r="12" spans="1:13" ht="16.5">
      <c r="A12" s="318" t="s">
        <v>247</v>
      </c>
      <c r="B12" s="319"/>
      <c r="C12" s="290"/>
      <c r="D12" s="290"/>
      <c r="E12" s="290"/>
      <c r="F12" s="288"/>
      <c r="G12" s="293"/>
      <c r="H12" s="293"/>
      <c r="I12" s="293"/>
      <c r="J12" s="293"/>
      <c r="K12" s="293"/>
      <c r="L12" s="293"/>
      <c r="M12" s="292"/>
    </row>
    <row r="13" spans="1:13" ht="16.5">
      <c r="A13" s="318" t="s">
        <v>248</v>
      </c>
      <c r="B13" s="319"/>
      <c r="C13" s="290"/>
      <c r="D13" s="290"/>
      <c r="E13" s="290"/>
      <c r="F13" s="288"/>
      <c r="G13" s="293"/>
      <c r="H13" s="293"/>
      <c r="I13" s="293"/>
      <c r="J13" s="293"/>
      <c r="K13" s="293"/>
      <c r="L13" s="293"/>
      <c r="M13" s="292"/>
    </row>
    <row r="14" spans="1:13" ht="16.5">
      <c r="A14" s="827" t="s">
        <v>249</v>
      </c>
      <c r="B14" s="843"/>
      <c r="C14" s="290"/>
      <c r="D14" s="290"/>
      <c r="E14" s="290"/>
      <c r="F14" s="288"/>
      <c r="G14" s="294">
        <f t="shared" ref="G14:J14" si="2">SUM(G15:G34)</f>
        <v>0</v>
      </c>
      <c r="H14" s="294">
        <f t="shared" si="2"/>
        <v>1029490</v>
      </c>
      <c r="I14" s="294">
        <f t="shared" si="2"/>
        <v>5346</v>
      </c>
      <c r="J14" s="294">
        <f t="shared" si="2"/>
        <v>0</v>
      </c>
      <c r="K14" s="294">
        <f t="shared" ref="K14" si="3">SUM(K15:K34)</f>
        <v>0</v>
      </c>
      <c r="L14" s="294">
        <f>SUM(L15:L34)</f>
        <v>0</v>
      </c>
      <c r="M14" s="292">
        <f>SUM(G14:L14)</f>
        <v>1034836</v>
      </c>
    </row>
    <row r="15" spans="1:13" ht="16.5">
      <c r="A15" s="318" t="s">
        <v>246</v>
      </c>
      <c r="B15" s="319"/>
      <c r="C15" s="295"/>
      <c r="D15" s="295"/>
      <c r="E15" s="295"/>
      <c r="F15" s="288"/>
      <c r="G15" s="296"/>
      <c r="H15" s="296">
        <v>9</v>
      </c>
      <c r="I15" s="296">
        <v>3600</v>
      </c>
      <c r="J15" s="296"/>
      <c r="K15" s="296"/>
      <c r="L15" s="296"/>
    </row>
    <row r="16" spans="1:13" ht="16.5">
      <c r="A16" s="318" t="s">
        <v>247</v>
      </c>
      <c r="B16" s="319"/>
      <c r="C16" s="295"/>
      <c r="D16" s="295"/>
      <c r="E16" s="295"/>
      <c r="F16" s="297"/>
      <c r="G16" s="296"/>
      <c r="H16" s="296">
        <v>282749</v>
      </c>
      <c r="I16" s="296">
        <v>1746</v>
      </c>
      <c r="J16" s="296"/>
      <c r="K16" s="296"/>
      <c r="L16" s="296"/>
    </row>
    <row r="17" spans="1:13" ht="16.5">
      <c r="A17" s="318" t="s">
        <v>248</v>
      </c>
      <c r="B17" s="319"/>
      <c r="C17" s="295"/>
      <c r="D17" s="295"/>
      <c r="E17" s="295"/>
      <c r="F17" s="288"/>
      <c r="G17" s="296"/>
      <c r="H17" s="296">
        <v>211</v>
      </c>
      <c r="I17" s="296"/>
      <c r="J17" s="296"/>
      <c r="K17" s="296"/>
      <c r="L17" s="296"/>
    </row>
    <row r="18" spans="1:13" ht="16.5">
      <c r="A18" s="318" t="s">
        <v>250</v>
      </c>
      <c r="B18" s="319"/>
      <c r="C18" s="295"/>
      <c r="D18" s="295"/>
      <c r="E18" s="295"/>
      <c r="F18" s="288"/>
      <c r="G18" s="296"/>
      <c r="H18" s="296">
        <v>13823</v>
      </c>
      <c r="I18" s="296"/>
      <c r="J18" s="296"/>
      <c r="K18" s="296"/>
      <c r="L18" s="296"/>
      <c r="M18" s="280"/>
    </row>
    <row r="19" spans="1:13" ht="16.5">
      <c r="A19" s="318" t="s">
        <v>251</v>
      </c>
      <c r="B19" s="319"/>
      <c r="C19" s="295"/>
      <c r="D19" s="295"/>
      <c r="E19" s="295"/>
      <c r="F19" s="288"/>
      <c r="G19" s="296"/>
      <c r="H19" s="296">
        <v>6993</v>
      </c>
      <c r="I19" s="296"/>
      <c r="J19" s="296"/>
      <c r="K19" s="296"/>
      <c r="L19" s="296"/>
      <c r="M19" s="280"/>
    </row>
    <row r="20" spans="1:13" ht="16.5">
      <c r="A20" s="318" t="s">
        <v>252</v>
      </c>
      <c r="B20" s="319"/>
      <c r="C20" s="295"/>
      <c r="D20" s="295"/>
      <c r="E20" s="295"/>
      <c r="F20" s="288"/>
      <c r="G20" s="296"/>
      <c r="H20" s="296">
        <v>631405</v>
      </c>
      <c r="I20" s="296"/>
      <c r="J20" s="296"/>
      <c r="K20" s="296"/>
      <c r="L20" s="296"/>
      <c r="M20" s="280"/>
    </row>
    <row r="21" spans="1:13" ht="16.5">
      <c r="A21" s="318" t="s">
        <v>253</v>
      </c>
      <c r="B21" s="319"/>
      <c r="C21" s="295"/>
      <c r="D21" s="295"/>
      <c r="E21" s="295"/>
      <c r="F21" s="288"/>
      <c r="G21" s="296"/>
      <c r="H21" s="296">
        <v>94300</v>
      </c>
      <c r="I21" s="296"/>
      <c r="J21" s="296"/>
      <c r="K21" s="296"/>
      <c r="L21" s="296"/>
      <c r="M21" s="280"/>
    </row>
    <row r="22" spans="1:13" ht="16.5">
      <c r="A22" s="318" t="s">
        <v>254</v>
      </c>
      <c r="B22" s="319"/>
      <c r="C22" s="295"/>
      <c r="D22" s="295"/>
      <c r="E22" s="295"/>
      <c r="F22" s="288"/>
      <c r="G22" s="296"/>
      <c r="H22" s="296"/>
      <c r="I22" s="296"/>
      <c r="J22" s="296"/>
      <c r="K22" s="296"/>
      <c r="L22" s="296"/>
      <c r="M22" s="280"/>
    </row>
    <row r="23" spans="1:13" ht="16.5">
      <c r="A23" s="318" t="s">
        <v>255</v>
      </c>
      <c r="B23" s="319"/>
      <c r="C23" s="295"/>
      <c r="D23" s="295"/>
      <c r="E23" s="295"/>
      <c r="F23" s="288"/>
      <c r="G23" s="296"/>
      <c r="H23" s="296"/>
      <c r="I23" s="296"/>
      <c r="J23" s="296"/>
      <c r="K23" s="296"/>
      <c r="L23" s="296"/>
      <c r="M23" s="280"/>
    </row>
    <row r="24" spans="1:13" ht="16.5">
      <c r="A24" s="318" t="s">
        <v>256</v>
      </c>
      <c r="B24" s="319"/>
      <c r="C24" s="295"/>
      <c r="D24" s="295"/>
      <c r="E24" s="295"/>
      <c r="F24" s="288"/>
      <c r="G24" s="296"/>
      <c r="H24" s="296"/>
      <c r="I24" s="296"/>
      <c r="J24" s="296"/>
      <c r="K24" s="296"/>
      <c r="L24" s="296"/>
      <c r="M24" s="280"/>
    </row>
    <row r="25" spans="1:13" ht="16.5">
      <c r="A25" s="318" t="s">
        <v>257</v>
      </c>
      <c r="B25" s="319"/>
      <c r="C25" s="295"/>
      <c r="D25" s="295"/>
      <c r="E25" s="295"/>
      <c r="F25" s="288"/>
      <c r="G25" s="296"/>
      <c r="H25" s="296"/>
      <c r="I25" s="296"/>
      <c r="J25" s="296"/>
      <c r="K25" s="296"/>
      <c r="L25" s="296"/>
      <c r="M25" s="280"/>
    </row>
    <row r="26" spans="1:13" ht="16.5">
      <c r="A26" s="318" t="s">
        <v>258</v>
      </c>
      <c r="B26" s="319"/>
      <c r="C26" s="295"/>
      <c r="D26" s="295"/>
      <c r="E26" s="295"/>
      <c r="F26" s="288"/>
      <c r="G26" s="296"/>
      <c r="H26" s="296"/>
      <c r="I26" s="296"/>
      <c r="J26" s="296"/>
      <c r="K26" s="296"/>
      <c r="L26" s="296"/>
      <c r="M26" s="280"/>
    </row>
    <row r="27" spans="1:13" ht="16.5">
      <c r="A27" s="318" t="s">
        <v>259</v>
      </c>
      <c r="B27" s="319"/>
      <c r="C27" s="295"/>
      <c r="D27" s="295"/>
      <c r="E27" s="295"/>
      <c r="F27" s="288"/>
      <c r="G27" s="296"/>
      <c r="H27" s="296"/>
      <c r="I27" s="296"/>
      <c r="J27" s="296"/>
      <c r="K27" s="296"/>
      <c r="L27" s="296"/>
      <c r="M27" s="280"/>
    </row>
    <row r="28" spans="1:13" ht="16.5">
      <c r="A28" s="318" t="s">
        <v>260</v>
      </c>
      <c r="B28" s="319"/>
      <c r="C28" s="295"/>
      <c r="D28" s="295"/>
      <c r="E28" s="295"/>
      <c r="F28" s="288"/>
      <c r="G28" s="296"/>
      <c r="H28" s="296"/>
      <c r="I28" s="296"/>
      <c r="J28" s="296"/>
      <c r="K28" s="296"/>
      <c r="L28" s="296"/>
      <c r="M28" s="280"/>
    </row>
    <row r="29" spans="1:13" ht="16.5">
      <c r="A29" s="318" t="s">
        <v>261</v>
      </c>
      <c r="B29" s="319"/>
      <c r="C29" s="295"/>
      <c r="D29" s="295"/>
      <c r="E29" s="295"/>
      <c r="F29" s="288"/>
      <c r="G29" s="296"/>
      <c r="H29" s="296"/>
      <c r="I29" s="296"/>
      <c r="J29" s="296"/>
      <c r="K29" s="296"/>
      <c r="L29" s="296"/>
      <c r="M29" s="280"/>
    </row>
    <row r="30" spans="1:13" ht="16.5">
      <c r="A30" s="318" t="s">
        <v>262</v>
      </c>
      <c r="B30" s="319"/>
      <c r="C30" s="295"/>
      <c r="D30" s="295"/>
      <c r="E30" s="295"/>
      <c r="F30" s="288"/>
      <c r="G30" s="296"/>
      <c r="H30" s="296"/>
      <c r="I30" s="296"/>
      <c r="J30" s="296"/>
      <c r="K30" s="296"/>
      <c r="L30" s="296"/>
      <c r="M30" s="280"/>
    </row>
    <row r="31" spans="1:13" ht="16.5">
      <c r="A31" s="318" t="s">
        <v>263</v>
      </c>
      <c r="B31" s="319"/>
      <c r="C31" s="295"/>
      <c r="D31" s="295"/>
      <c r="E31" s="295"/>
      <c r="F31" s="288"/>
      <c r="G31" s="296"/>
      <c r="H31" s="296"/>
      <c r="I31" s="296"/>
      <c r="J31" s="296"/>
      <c r="K31" s="296"/>
      <c r="L31" s="296"/>
      <c r="M31" s="280"/>
    </row>
    <row r="32" spans="1:13" ht="16.5">
      <c r="A32" s="318" t="s">
        <v>264</v>
      </c>
      <c r="B32" s="319"/>
      <c r="C32" s="295"/>
      <c r="D32" s="295"/>
      <c r="E32" s="295"/>
      <c r="F32" s="288"/>
      <c r="G32" s="296"/>
      <c r="H32" s="296"/>
      <c r="I32" s="296"/>
      <c r="J32" s="296"/>
      <c r="K32" s="296"/>
      <c r="L32" s="296"/>
      <c r="M32" s="280"/>
    </row>
    <row r="33" spans="1:15" ht="16.5">
      <c r="A33" s="318" t="s">
        <v>265</v>
      </c>
      <c r="B33" s="319"/>
      <c r="C33" s="295"/>
      <c r="D33" s="295"/>
      <c r="E33" s="295"/>
      <c r="F33" s="288"/>
      <c r="G33" s="296"/>
      <c r="H33" s="296"/>
      <c r="I33" s="296"/>
      <c r="J33" s="296"/>
      <c r="K33" s="296"/>
      <c r="L33" s="296"/>
      <c r="M33" s="280"/>
    </row>
    <row r="34" spans="1:15" ht="16.5">
      <c r="A34" s="318" t="s">
        <v>266</v>
      </c>
      <c r="B34" s="319"/>
      <c r="C34" s="295"/>
      <c r="D34" s="295"/>
      <c r="E34" s="295"/>
      <c r="F34" s="288"/>
      <c r="G34" s="296"/>
      <c r="H34" s="296"/>
      <c r="I34" s="296"/>
      <c r="J34" s="296"/>
      <c r="K34" s="296"/>
      <c r="L34" s="296"/>
    </row>
    <row r="35" spans="1:15" ht="16.5">
      <c r="A35" s="827" t="s">
        <v>280</v>
      </c>
      <c r="B35" s="828"/>
      <c r="C35" s="298"/>
      <c r="D35" s="298"/>
      <c r="E35" s="298"/>
      <c r="F35" s="288"/>
      <c r="G35" s="299">
        <f t="shared" ref="G35:J35" si="4">SUM(G36:G38)</f>
        <v>0</v>
      </c>
      <c r="H35" s="299">
        <f t="shared" si="4"/>
        <v>0</v>
      </c>
      <c r="I35" s="299">
        <f t="shared" si="4"/>
        <v>0</v>
      </c>
      <c r="J35" s="299">
        <f t="shared" si="4"/>
        <v>0</v>
      </c>
      <c r="K35" s="299">
        <f t="shared" ref="K35" si="5">SUM(K36:K38)</f>
        <v>0</v>
      </c>
      <c r="L35" s="299">
        <f>SUM(L36:L38)</f>
        <v>0</v>
      </c>
      <c r="M35" s="292">
        <f>SUM(G35:L35)</f>
        <v>0</v>
      </c>
      <c r="N35" s="300"/>
    </row>
    <row r="36" spans="1:15" ht="16.5">
      <c r="A36" s="318" t="s">
        <v>281</v>
      </c>
      <c r="B36" s="319"/>
      <c r="C36" s="301"/>
      <c r="D36" s="301"/>
      <c r="E36" s="301"/>
      <c r="F36" s="302"/>
      <c r="G36" s="296"/>
      <c r="H36" s="296"/>
      <c r="I36" s="296"/>
      <c r="J36" s="296"/>
      <c r="K36" s="296"/>
      <c r="L36" s="296"/>
      <c r="N36" s="303"/>
    </row>
    <row r="37" spans="1:15" ht="16.5">
      <c r="A37" s="318" t="s">
        <v>247</v>
      </c>
      <c r="B37" s="319"/>
      <c r="C37" s="301"/>
      <c r="D37" s="301"/>
      <c r="E37" s="301"/>
      <c r="F37" s="302"/>
      <c r="G37" s="296"/>
      <c r="H37" s="296"/>
      <c r="I37" s="296"/>
      <c r="J37" s="296"/>
      <c r="K37" s="296"/>
      <c r="L37" s="296"/>
      <c r="N37" s="303"/>
    </row>
    <row r="38" spans="1:15" ht="16.5">
      <c r="A38" s="318" t="s">
        <v>248</v>
      </c>
      <c r="B38" s="319"/>
      <c r="C38" s="301"/>
      <c r="D38" s="301"/>
      <c r="E38" s="301"/>
      <c r="F38" s="302"/>
      <c r="G38" s="296"/>
      <c r="H38" s="296"/>
      <c r="I38" s="296"/>
      <c r="J38" s="296"/>
      <c r="K38" s="296"/>
      <c r="L38" s="296"/>
      <c r="N38" s="303"/>
    </row>
    <row r="39" spans="1:15" ht="16.5">
      <c r="A39" s="827" t="s">
        <v>282</v>
      </c>
      <c r="B39" s="828"/>
      <c r="C39" s="298"/>
      <c r="D39" s="298"/>
      <c r="E39" s="298"/>
      <c r="F39" s="288"/>
      <c r="G39" s="299">
        <f t="shared" ref="G39:J39" si="6">SUM(G40:G42)</f>
        <v>0</v>
      </c>
      <c r="H39" s="299">
        <f t="shared" si="6"/>
        <v>0</v>
      </c>
      <c r="I39" s="299">
        <f t="shared" si="6"/>
        <v>0</v>
      </c>
      <c r="J39" s="299">
        <f t="shared" si="6"/>
        <v>0</v>
      </c>
      <c r="K39" s="299">
        <f t="shared" ref="K39" si="7">SUM(K40:K42)</f>
        <v>0</v>
      </c>
      <c r="L39" s="299">
        <f>SUM(L40:L42)</f>
        <v>0</v>
      </c>
      <c r="M39" s="292">
        <f>SUM(G39:L39)</f>
        <v>0</v>
      </c>
      <c r="N39" s="300"/>
    </row>
    <row r="40" spans="1:15" ht="16.5">
      <c r="A40" s="318" t="s">
        <v>281</v>
      </c>
      <c r="B40" s="319"/>
      <c r="C40" s="301"/>
      <c r="D40" s="301"/>
      <c r="E40" s="301"/>
      <c r="F40" s="302"/>
      <c r="G40" s="296"/>
      <c r="H40" s="296"/>
      <c r="I40" s="296"/>
      <c r="J40" s="296"/>
      <c r="K40" s="296"/>
      <c r="L40" s="296"/>
      <c r="N40" s="303"/>
    </row>
    <row r="41" spans="1:15" ht="16.5">
      <c r="A41" s="318" t="s">
        <v>247</v>
      </c>
      <c r="B41" s="319"/>
      <c r="C41" s="301"/>
      <c r="D41" s="301"/>
      <c r="E41" s="301"/>
      <c r="F41" s="302"/>
      <c r="G41" s="296"/>
      <c r="H41" s="296"/>
      <c r="I41" s="296"/>
      <c r="J41" s="296"/>
      <c r="K41" s="296"/>
      <c r="L41" s="296"/>
      <c r="N41" s="303"/>
    </row>
    <row r="42" spans="1:15" ht="16.5">
      <c r="A42" s="318" t="s">
        <v>248</v>
      </c>
      <c r="B42" s="319"/>
      <c r="C42" s="301"/>
      <c r="D42" s="301"/>
      <c r="E42" s="301"/>
      <c r="F42" s="302"/>
      <c r="G42" s="296"/>
      <c r="H42" s="296"/>
      <c r="I42" s="296"/>
      <c r="J42" s="296"/>
      <c r="K42" s="296"/>
      <c r="L42" s="296"/>
      <c r="N42" s="303"/>
    </row>
    <row r="43" spans="1:15" ht="16.5">
      <c r="A43" s="842" t="s">
        <v>283</v>
      </c>
      <c r="B43" s="843"/>
      <c r="C43" s="290"/>
      <c r="D43" s="290"/>
      <c r="E43" s="290"/>
      <c r="F43" s="288"/>
      <c r="G43" s="304">
        <f>G8+G10+G14-G35-G39</f>
        <v>3</v>
      </c>
      <c r="H43" s="304">
        <f t="shared" ref="H43:L43" si="8">H8+H10+H14-H35-H39</f>
        <v>4311459</v>
      </c>
      <c r="I43" s="304">
        <f t="shared" si="8"/>
        <v>1201991</v>
      </c>
      <c r="J43" s="304">
        <f t="shared" si="8"/>
        <v>897578</v>
      </c>
      <c r="K43" s="304">
        <f t="shared" ref="K43" si="9">K8+K10+K14-K35-K39</f>
        <v>0</v>
      </c>
      <c r="L43" s="304">
        <f t="shared" si="8"/>
        <v>372876</v>
      </c>
      <c r="M43" s="292">
        <f>SUM(G43:L43)</f>
        <v>6783907</v>
      </c>
      <c r="N43" s="305"/>
      <c r="O43" s="306"/>
    </row>
    <row r="44" spans="1:15" ht="16.5">
      <c r="A44" s="549"/>
      <c r="B44" s="550" t="s">
        <v>448</v>
      </c>
      <c r="C44" s="290"/>
      <c r="D44" s="290"/>
      <c r="E44" s="290"/>
      <c r="F44" s="288"/>
      <c r="G44" s="548">
        <f>G9</f>
        <v>0</v>
      </c>
      <c r="H44" s="548">
        <f t="shared" ref="H44:L44" si="10">H9</f>
        <v>0</v>
      </c>
      <c r="I44" s="548">
        <f t="shared" si="10"/>
        <v>0</v>
      </c>
      <c r="J44" s="548">
        <f t="shared" si="10"/>
        <v>1900000</v>
      </c>
      <c r="K44" s="548">
        <f t="shared" ref="K44" si="11">K9</f>
        <v>0</v>
      </c>
      <c r="L44" s="548">
        <f t="shared" si="10"/>
        <v>0</v>
      </c>
      <c r="M44" s="292">
        <f>SUM(G44:L44)</f>
        <v>1900000</v>
      </c>
      <c r="N44" s="305"/>
      <c r="O44" s="306"/>
    </row>
    <row r="45" spans="1:15" ht="21">
      <c r="A45" s="842" t="s">
        <v>284</v>
      </c>
      <c r="B45" s="843"/>
      <c r="C45" s="290"/>
      <c r="D45" s="290"/>
      <c r="E45" s="290"/>
      <c r="F45" s="288"/>
      <c r="G45" s="847">
        <f>SUM(G43:L44)</f>
        <v>8683907</v>
      </c>
      <c r="H45" s="848"/>
      <c r="I45" s="848"/>
      <c r="J45" s="848"/>
      <c r="K45" s="848"/>
      <c r="L45" s="849"/>
      <c r="M45" s="292">
        <f>SUM(G45:L45)</f>
        <v>8683907</v>
      </c>
      <c r="N45" s="305"/>
      <c r="O45" s="306"/>
    </row>
    <row r="46" spans="1:15" ht="16.5">
      <c r="B46" s="307"/>
      <c r="C46" s="283"/>
      <c r="D46" s="283"/>
      <c r="E46" s="283"/>
      <c r="F46" s="283"/>
      <c r="G46" s="284"/>
      <c r="H46" s="284"/>
      <c r="I46" s="284"/>
      <c r="J46" s="284"/>
      <c r="K46" s="284"/>
      <c r="L46" s="284"/>
      <c r="N46" s="308"/>
      <c r="O46" s="309"/>
    </row>
    <row r="47" spans="1:15" ht="16.5">
      <c r="B47" s="307" t="s">
        <v>267</v>
      </c>
      <c r="C47" s="850" t="s">
        <v>268</v>
      </c>
      <c r="D47" s="850"/>
      <c r="E47" s="850"/>
      <c r="F47" s="850"/>
      <c r="G47" s="310"/>
      <c r="H47" s="310" t="s">
        <v>269</v>
      </c>
      <c r="I47" s="310"/>
      <c r="J47" s="310"/>
      <c r="K47" s="310"/>
      <c r="L47" s="284"/>
      <c r="N47" s="311"/>
      <c r="O47" s="309"/>
    </row>
    <row r="48" spans="1:15" s="587" customFormat="1" ht="16.5">
      <c r="B48" s="580"/>
      <c r="C48" s="581"/>
      <c r="D48" s="581"/>
      <c r="E48" s="581"/>
      <c r="F48" s="581" t="s">
        <v>452</v>
      </c>
      <c r="G48" s="582"/>
      <c r="H48" s="582"/>
      <c r="I48" s="582"/>
      <c r="J48" s="582"/>
      <c r="K48" s="582"/>
      <c r="L48" s="582"/>
      <c r="M48" s="588"/>
      <c r="N48" s="583"/>
      <c r="O48" s="584"/>
    </row>
    <row r="49" spans="3:16" s="587" customFormat="1" ht="16.5">
      <c r="C49" s="589"/>
      <c r="D49" s="589"/>
      <c r="E49" s="589"/>
      <c r="F49" s="589"/>
      <c r="G49" s="591">
        <f>G43-G48</f>
        <v>3</v>
      </c>
      <c r="H49" s="591">
        <f t="shared" ref="H49:L49" si="12">H43-H48</f>
        <v>4311459</v>
      </c>
      <c r="I49" s="591">
        <f t="shared" si="12"/>
        <v>1201991</v>
      </c>
      <c r="J49" s="591">
        <f t="shared" si="12"/>
        <v>897578</v>
      </c>
      <c r="K49" s="591">
        <f t="shared" ref="K49" si="13">K43-K48</f>
        <v>0</v>
      </c>
      <c r="L49" s="591">
        <f t="shared" si="12"/>
        <v>372876</v>
      </c>
      <c r="M49" s="588"/>
      <c r="N49" s="585"/>
      <c r="O49" s="586"/>
      <c r="P49" s="586"/>
    </row>
    <row r="50" spans="3:16" ht="16.5">
      <c r="N50" s="313"/>
      <c r="O50" s="313"/>
      <c r="P50" s="313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1" bestFit="1" customWidth="1"/>
    <col min="14" max="14" width="9.7109375" style="231" bestFit="1" customWidth="1"/>
    <col min="15" max="15" width="13.28515625" style="232" bestFit="1" customWidth="1"/>
    <col min="16" max="16" width="12.5703125" style="244" customWidth="1"/>
    <col min="17" max="17" width="12.28515625" style="331" bestFit="1" customWidth="1"/>
    <col min="18" max="18" width="12" style="331" customWidth="1"/>
    <col min="19" max="16384" width="6.85546875" style="3"/>
  </cols>
  <sheetData>
    <row r="1" spans="1:16" ht="19.5">
      <c r="A1" s="720" t="str">
        <f>封面!$A$4</f>
        <v>彰化縣地方教育發展基金－彰化縣秀水鄉馬興國民小學</v>
      </c>
      <c r="B1" s="720"/>
      <c r="C1" s="720"/>
      <c r="D1" s="720"/>
      <c r="E1" s="720"/>
      <c r="F1" s="720"/>
      <c r="G1" s="720"/>
      <c r="H1" s="720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36" t="s">
        <v>38</v>
      </c>
      <c r="B4" s="736"/>
      <c r="C4" s="736"/>
      <c r="D4" s="736"/>
      <c r="E4" s="736"/>
      <c r="F4" s="736"/>
      <c r="G4" s="736"/>
      <c r="H4" s="736"/>
    </row>
    <row r="5" spans="1:16" ht="6.75" customHeight="1"/>
    <row r="6" spans="1:16" ht="16.5">
      <c r="A6" s="721" t="str">
        <f>封面!$E$10&amp;封面!$H$10&amp;封面!$I$10&amp;封面!$J$10&amp;封面!$K$10&amp;封面!L10</f>
        <v>中華民國112年9月份</v>
      </c>
      <c r="B6" s="721"/>
      <c r="C6" s="721"/>
      <c r="D6" s="721"/>
      <c r="E6" s="721"/>
      <c r="F6" s="721"/>
      <c r="G6" s="721"/>
      <c r="H6" s="721"/>
    </row>
    <row r="7" spans="1:16" ht="14.25" customHeight="1">
      <c r="A7" s="659" t="s">
        <v>39</v>
      </c>
      <c r="B7" s="659"/>
      <c r="C7" s="659"/>
      <c r="D7" s="659"/>
      <c r="E7" s="659"/>
      <c r="F7" s="659"/>
      <c r="G7" s="659"/>
      <c r="H7" s="659"/>
      <c r="K7" s="144">
        <f t="shared" ref="K7:P7" si="0">K15-K34</f>
        <v>-761342</v>
      </c>
      <c r="L7" s="144">
        <f t="shared" si="0"/>
        <v>-1015711</v>
      </c>
      <c r="M7" s="144">
        <f t="shared" si="0"/>
        <v>159415</v>
      </c>
      <c r="N7" s="144">
        <f t="shared" si="0"/>
        <v>0</v>
      </c>
      <c r="O7" s="144">
        <f t="shared" si="0"/>
        <v>35854059</v>
      </c>
      <c r="P7" s="144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55" t="s">
        <v>40</v>
      </c>
      <c r="I9" s="143"/>
    </row>
    <row r="10" spans="1:16" ht="14.25" customHeight="1">
      <c r="A10" s="851" t="s">
        <v>41</v>
      </c>
      <c r="B10" s="853"/>
      <c r="C10" s="861" t="s">
        <v>51</v>
      </c>
      <c r="D10" s="853" t="s">
        <v>52</v>
      </c>
      <c r="E10" s="861" t="s">
        <v>53</v>
      </c>
      <c r="F10" s="861" t="s">
        <v>54</v>
      </c>
      <c r="G10" s="851" t="s">
        <v>42</v>
      </c>
      <c r="H10" s="856"/>
      <c r="I10" s="143"/>
      <c r="K10" s="200" t="s">
        <v>190</v>
      </c>
      <c r="L10" s="200" t="s">
        <v>191</v>
      </c>
      <c r="M10" s="858" t="s">
        <v>206</v>
      </c>
      <c r="N10" s="863" t="s">
        <v>218</v>
      </c>
      <c r="O10" s="860" t="s">
        <v>216</v>
      </c>
    </row>
    <row r="11" spans="1:16" ht="14.25">
      <c r="A11" s="852"/>
      <c r="B11" s="854"/>
      <c r="C11" s="862"/>
      <c r="D11" s="854"/>
      <c r="E11" s="862"/>
      <c r="F11" s="862"/>
      <c r="G11" s="852"/>
      <c r="H11" s="857"/>
      <c r="I11" s="143"/>
      <c r="M11" s="859"/>
      <c r="N11" s="864"/>
      <c r="O11" s="859"/>
      <c r="P11" s="245" t="s">
        <v>217</v>
      </c>
    </row>
    <row r="12" spans="1:16" ht="12.75" hidden="1" customHeight="1">
      <c r="H12" s="119"/>
      <c r="I12" s="143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20"/>
      <c r="D15" s="220"/>
      <c r="E15" s="220"/>
      <c r="F15" s="220"/>
      <c r="G15" s="266"/>
      <c r="H15" s="220"/>
      <c r="I15" s="14"/>
      <c r="J15" s="144">
        <f>D15-E15-H15</f>
        <v>0</v>
      </c>
      <c r="K15" s="247">
        <f>D15-[6]固定項目!D15</f>
        <v>-761342</v>
      </c>
      <c r="L15" s="247">
        <f>E15-[6]固定項目!E15</f>
        <v>-1015711</v>
      </c>
      <c r="M15" s="247">
        <f>SUM(M18:M36)</f>
        <v>159415</v>
      </c>
      <c r="N15" s="247">
        <f>SUM(N18:N36)</f>
        <v>0</v>
      </c>
      <c r="O15" s="247">
        <f>SUM(O18:O36)</f>
        <v>35854059</v>
      </c>
      <c r="P15" s="250">
        <f>SUM(P18:P36)</f>
        <v>-35854059</v>
      </c>
    </row>
    <row r="16" spans="1:16" ht="21" hidden="1" customHeight="1">
      <c r="A16" s="18"/>
      <c r="B16" s="18"/>
      <c r="C16" s="221"/>
      <c r="D16" s="221"/>
      <c r="E16" s="221"/>
      <c r="F16" s="221"/>
      <c r="G16" s="266"/>
      <c r="H16" s="221"/>
      <c r="I16" s="14"/>
      <c r="J16" s="144">
        <f t="shared" ref="J16:J36" si="1">D16-E16-H16</f>
        <v>0</v>
      </c>
      <c r="K16" s="248">
        <f>D16-[6]固定項目!D16</f>
        <v>0</v>
      </c>
      <c r="L16" s="248">
        <f>E16-[6]固定項目!E16</f>
        <v>0</v>
      </c>
      <c r="P16" s="250"/>
    </row>
    <row r="17" spans="1:18" ht="21" hidden="1" customHeight="1">
      <c r="A17" s="18"/>
      <c r="B17" s="18"/>
      <c r="C17" s="221"/>
      <c r="D17" s="221"/>
      <c r="E17" s="221"/>
      <c r="F17" s="221"/>
      <c r="G17" s="266"/>
      <c r="H17" s="221"/>
      <c r="I17" s="14"/>
      <c r="J17" s="144">
        <f t="shared" si="1"/>
        <v>0</v>
      </c>
      <c r="K17" s="248">
        <f>D17-[6]固定項目!D17</f>
        <v>0</v>
      </c>
      <c r="L17" s="248">
        <f>E17-[6]固定項目!E17</f>
        <v>0</v>
      </c>
      <c r="P17" s="250"/>
    </row>
    <row r="18" spans="1:18" ht="26.25" customHeight="1">
      <c r="A18" s="19"/>
      <c r="B18" s="93" t="s">
        <v>169</v>
      </c>
      <c r="C18" s="221"/>
      <c r="D18" s="221"/>
      <c r="E18" s="221"/>
      <c r="F18" s="221"/>
      <c r="G18" s="266"/>
      <c r="H18" s="221"/>
      <c r="I18" s="14"/>
      <c r="J18" s="144">
        <f t="shared" si="1"/>
        <v>0</v>
      </c>
      <c r="K18" s="248">
        <f>D18-[7]固定項目!D18</f>
        <v>0</v>
      </c>
      <c r="L18" s="248">
        <f>E18-[7]固定項目!E18</f>
        <v>0</v>
      </c>
      <c r="O18" s="249">
        <f>M18-N18+[7]固定項目!O18</f>
        <v>0</v>
      </c>
      <c r="P18" s="250"/>
    </row>
    <row r="19" spans="1:18" ht="21" hidden="1" customHeight="1">
      <c r="A19" s="18"/>
      <c r="B19" s="18"/>
      <c r="C19" s="221"/>
      <c r="D19" s="221"/>
      <c r="E19" s="221"/>
      <c r="F19" s="221"/>
      <c r="G19" s="266"/>
      <c r="H19" s="221"/>
      <c r="I19" s="14"/>
      <c r="J19" s="144">
        <f t="shared" si="1"/>
        <v>0</v>
      </c>
      <c r="K19" s="248">
        <f>D19-[7]固定項目!D20</f>
        <v>0</v>
      </c>
      <c r="L19" s="248">
        <f>E19-[7]固定項目!E20</f>
        <v>0</v>
      </c>
      <c r="O19" s="249">
        <f>M19-N19+[7]固定項目!O20</f>
        <v>0</v>
      </c>
      <c r="P19" s="250"/>
    </row>
    <row r="20" spans="1:18" ht="21" customHeight="1">
      <c r="A20" s="20"/>
      <c r="B20" s="94" t="s">
        <v>44</v>
      </c>
      <c r="C20" s="220"/>
      <c r="D20" s="220"/>
      <c r="E20" s="220"/>
      <c r="F20" s="220"/>
      <c r="G20" s="266"/>
      <c r="H20" s="220"/>
      <c r="I20" s="14"/>
      <c r="J20" s="144">
        <f t="shared" si="1"/>
        <v>0</v>
      </c>
      <c r="K20" s="248">
        <f>D20-[7]固定項目!D21</f>
        <v>0</v>
      </c>
      <c r="L20" s="248">
        <f>E20-[7]固定項目!E21</f>
        <v>0</v>
      </c>
      <c r="O20" s="249">
        <f>M20-N20+[7]固定項目!O21</f>
        <v>0</v>
      </c>
      <c r="P20" s="250">
        <f>C20+D20-E20-O20</f>
        <v>0</v>
      </c>
      <c r="Q20" s="331">
        <v>9760300</v>
      </c>
      <c r="R20" s="332">
        <f>P20-Q20</f>
        <v>-9760300</v>
      </c>
    </row>
    <row r="21" spans="1:18" ht="21" hidden="1" customHeight="1">
      <c r="A21" s="18"/>
      <c r="B21" s="18"/>
      <c r="C21" s="221"/>
      <c r="D21" s="221"/>
      <c r="E21" s="221"/>
      <c r="F21" s="221"/>
      <c r="G21" s="266"/>
      <c r="H21" s="221"/>
      <c r="I21" s="14"/>
      <c r="J21" s="144">
        <f t="shared" si="1"/>
        <v>0</v>
      </c>
      <c r="K21" s="248">
        <f>D21-[7]固定項目!D23</f>
        <v>0</v>
      </c>
      <c r="L21" s="248">
        <f>E21-[7]固定項目!E23</f>
        <v>0</v>
      </c>
      <c r="O21" s="249">
        <f>M21-N21+[7]固定項目!O23</f>
        <v>0</v>
      </c>
      <c r="P21" s="250">
        <f t="shared" ref="P21:P42" si="2">C21+D21-E21-O21</f>
        <v>0</v>
      </c>
      <c r="R21" s="332">
        <f t="shared" ref="R21:R30" si="3">P21-Q21</f>
        <v>0</v>
      </c>
    </row>
    <row r="22" spans="1:18" ht="21" customHeight="1">
      <c r="A22" s="20"/>
      <c r="B22" s="94" t="s">
        <v>45</v>
      </c>
      <c r="C22" s="220"/>
      <c r="D22" s="221"/>
      <c r="E22" s="221"/>
      <c r="F22" s="220"/>
      <c r="G22" s="266"/>
      <c r="H22" s="221"/>
      <c r="I22" s="14"/>
      <c r="J22" s="144">
        <f t="shared" si="1"/>
        <v>0</v>
      </c>
      <c r="K22" s="248">
        <f>D22-[7]固定項目!D24</f>
        <v>-65606</v>
      </c>
      <c r="L22" s="248">
        <f>E22-[7]固定項目!E24</f>
        <v>0</v>
      </c>
      <c r="M22" s="231">
        <v>32803</v>
      </c>
      <c r="O22" s="249">
        <f>M22-N22+[7]固定項目!O24</f>
        <v>2027157</v>
      </c>
      <c r="P22" s="250">
        <f t="shared" si="2"/>
        <v>-2027157</v>
      </c>
      <c r="Q22" s="331">
        <v>3532484</v>
      </c>
      <c r="R22" s="332">
        <f t="shared" si="3"/>
        <v>-5559641</v>
      </c>
    </row>
    <row r="23" spans="1:18" ht="21" hidden="1" customHeight="1">
      <c r="A23" s="18"/>
      <c r="B23" s="18"/>
      <c r="C23" s="221"/>
      <c r="D23" s="221"/>
      <c r="E23" s="221"/>
      <c r="F23" s="221"/>
      <c r="G23" s="266"/>
      <c r="H23" s="221"/>
      <c r="I23" s="14"/>
      <c r="J23" s="144">
        <f t="shared" si="1"/>
        <v>0</v>
      </c>
      <c r="K23" s="248">
        <f>D23-[7]固定項目!D26</f>
        <v>0</v>
      </c>
      <c r="L23" s="248">
        <f>E23-[7]固定項目!E26</f>
        <v>0</v>
      </c>
      <c r="O23" s="249">
        <f>M23-N23+[7]固定項目!O26</f>
        <v>0</v>
      </c>
      <c r="P23" s="250">
        <f t="shared" si="2"/>
        <v>0</v>
      </c>
      <c r="R23" s="332">
        <f t="shared" si="3"/>
        <v>0</v>
      </c>
    </row>
    <row r="24" spans="1:18" ht="21" customHeight="1">
      <c r="A24" s="20"/>
      <c r="B24" s="94" t="s">
        <v>46</v>
      </c>
      <c r="C24" s="220"/>
      <c r="D24" s="221"/>
      <c r="E24" s="220"/>
      <c r="F24" s="220"/>
      <c r="G24" s="266"/>
      <c r="H24" s="220"/>
      <c r="I24" s="14"/>
      <c r="J24" s="144">
        <f t="shared" si="1"/>
        <v>0</v>
      </c>
      <c r="K24" s="248">
        <f>D24-[7]固定項目!D27</f>
        <v>0</v>
      </c>
      <c r="L24" s="248">
        <f>E24-[7]固定項目!E27</f>
        <v>-462500</v>
      </c>
      <c r="M24" s="231">
        <v>83429</v>
      </c>
      <c r="O24" s="249">
        <f>M24-N24+[7]固定項目!O27</f>
        <v>24356499</v>
      </c>
      <c r="P24" s="250">
        <f t="shared" si="2"/>
        <v>-24356499</v>
      </c>
      <c r="Q24" s="331">
        <v>20166512</v>
      </c>
      <c r="R24" s="332">
        <f t="shared" si="3"/>
        <v>-44523011</v>
      </c>
    </row>
    <row r="25" spans="1:18" ht="21" hidden="1" customHeight="1">
      <c r="A25" s="18"/>
      <c r="B25" s="18"/>
      <c r="C25" s="221"/>
      <c r="D25" s="221"/>
      <c r="E25" s="221"/>
      <c r="F25" s="221"/>
      <c r="G25" s="266"/>
      <c r="H25" s="221"/>
      <c r="I25" s="14"/>
      <c r="J25" s="144">
        <f t="shared" si="1"/>
        <v>0</v>
      </c>
      <c r="K25" s="248">
        <f>D25-[7]固定項目!D29</f>
        <v>0</v>
      </c>
      <c r="L25" s="248">
        <f>E25-[7]固定項目!E29</f>
        <v>0</v>
      </c>
      <c r="O25" s="249">
        <f>M25-N25+[7]固定項目!O29</f>
        <v>0</v>
      </c>
      <c r="P25" s="250">
        <f t="shared" si="2"/>
        <v>0</v>
      </c>
      <c r="R25" s="332">
        <f t="shared" si="3"/>
        <v>0</v>
      </c>
    </row>
    <row r="26" spans="1:18" ht="21" customHeight="1">
      <c r="A26" s="20"/>
      <c r="B26" s="94" t="s">
        <v>47</v>
      </c>
      <c r="C26" s="220"/>
      <c r="D26" s="220"/>
      <c r="E26" s="220"/>
      <c r="F26" s="220"/>
      <c r="G26" s="266"/>
      <c r="H26" s="220"/>
      <c r="I26" s="14"/>
      <c r="J26" s="144">
        <f t="shared" si="1"/>
        <v>0</v>
      </c>
      <c r="K26" s="248">
        <f>D26-[7]固定項目!D30</f>
        <v>-112736</v>
      </c>
      <c r="L26" s="248">
        <f>E26-[7]固定項目!E30</f>
        <v>-343611</v>
      </c>
      <c r="M26" s="231">
        <v>24242</v>
      </c>
      <c r="O26" s="249">
        <f>M26-N26+[7]固定項目!O30</f>
        <v>4960805</v>
      </c>
      <c r="P26" s="250">
        <f t="shared" si="2"/>
        <v>-4960805</v>
      </c>
      <c r="Q26" s="331">
        <v>1123223</v>
      </c>
      <c r="R26" s="332">
        <f t="shared" si="3"/>
        <v>-6084028</v>
      </c>
    </row>
    <row r="27" spans="1:18" ht="21" hidden="1" customHeight="1">
      <c r="A27" s="18"/>
      <c r="B27" s="18"/>
      <c r="C27" s="221"/>
      <c r="D27" s="221"/>
      <c r="E27" s="221"/>
      <c r="F27" s="221"/>
      <c r="G27" s="266"/>
      <c r="H27" s="221"/>
      <c r="I27" s="14"/>
      <c r="J27" s="144">
        <f t="shared" si="1"/>
        <v>0</v>
      </c>
      <c r="K27" s="248">
        <f>D27-[7]固定項目!D32</f>
        <v>0</v>
      </c>
      <c r="L27" s="248">
        <f>E27-[7]固定項目!E32</f>
        <v>0</v>
      </c>
      <c r="O27" s="249">
        <f>M27-N27+[7]固定項目!O32</f>
        <v>0</v>
      </c>
      <c r="P27" s="250">
        <f t="shared" si="2"/>
        <v>0</v>
      </c>
      <c r="R27" s="332">
        <f t="shared" si="3"/>
        <v>0</v>
      </c>
    </row>
    <row r="28" spans="1:18" ht="21" customHeight="1">
      <c r="A28" s="20"/>
      <c r="B28" s="94" t="s">
        <v>48</v>
      </c>
      <c r="C28" s="220"/>
      <c r="D28" s="221"/>
      <c r="E28" s="220"/>
      <c r="F28" s="220"/>
      <c r="G28" s="266"/>
      <c r="H28" s="220"/>
      <c r="I28" s="14"/>
      <c r="J28" s="144">
        <f t="shared" si="1"/>
        <v>0</v>
      </c>
      <c r="K28" s="248">
        <f>D28-[7]固定項目!D33</f>
        <v>0</v>
      </c>
      <c r="L28" s="248">
        <f>E28-[7]固定項目!E33</f>
        <v>-98000</v>
      </c>
      <c r="M28" s="231">
        <v>5018</v>
      </c>
      <c r="O28" s="249">
        <f>M28-N28+[7]固定項目!O33</f>
        <v>707188</v>
      </c>
      <c r="P28" s="250">
        <f t="shared" si="2"/>
        <v>-707188</v>
      </c>
      <c r="Q28" s="331">
        <v>148230</v>
      </c>
      <c r="R28" s="332">
        <f t="shared" si="3"/>
        <v>-855418</v>
      </c>
    </row>
    <row r="29" spans="1:18" ht="21" hidden="1" customHeight="1">
      <c r="A29" s="18"/>
      <c r="B29" s="18"/>
      <c r="C29" s="221"/>
      <c r="D29" s="221"/>
      <c r="E29" s="221"/>
      <c r="F29" s="221"/>
      <c r="G29" s="266"/>
      <c r="H29" s="221"/>
      <c r="I29" s="14"/>
      <c r="J29" s="144">
        <f t="shared" si="1"/>
        <v>0</v>
      </c>
      <c r="K29" s="248">
        <f>D29-[7]固定項目!D35</f>
        <v>0</v>
      </c>
      <c r="L29" s="248">
        <f>E29-[7]固定項目!E35</f>
        <v>0</v>
      </c>
      <c r="O29" s="249">
        <f>M29-N29+[7]固定項目!O35</f>
        <v>0</v>
      </c>
      <c r="P29" s="250">
        <f t="shared" si="2"/>
        <v>0</v>
      </c>
      <c r="R29" s="332">
        <f t="shared" si="3"/>
        <v>0</v>
      </c>
    </row>
    <row r="30" spans="1:18" ht="21" customHeight="1">
      <c r="A30" s="20"/>
      <c r="B30" s="94" t="s">
        <v>200</v>
      </c>
      <c r="C30" s="220"/>
      <c r="D30" s="220"/>
      <c r="E30" s="220"/>
      <c r="F30" s="220"/>
      <c r="G30" s="266"/>
      <c r="H30" s="220"/>
      <c r="I30" s="14"/>
      <c r="J30" s="144">
        <f t="shared" si="1"/>
        <v>0</v>
      </c>
      <c r="K30" s="248">
        <f>D30-[7]固定項目!D36</f>
        <v>-596000</v>
      </c>
      <c r="L30" s="248">
        <f>E30-[7]固定項目!E36</f>
        <v>-111600</v>
      </c>
      <c r="M30" s="231">
        <v>13923</v>
      </c>
      <c r="O30" s="249">
        <f>M30-N30+[7]固定項目!O36</f>
        <v>3802410</v>
      </c>
      <c r="P30" s="250">
        <f t="shared" si="2"/>
        <v>-3802410</v>
      </c>
      <c r="Q30" s="331">
        <v>667523</v>
      </c>
      <c r="R30" s="332">
        <f t="shared" si="3"/>
        <v>-4469933</v>
      </c>
    </row>
    <row r="31" spans="1:18" ht="21" hidden="1" customHeight="1">
      <c r="A31" s="18"/>
      <c r="B31" s="18"/>
      <c r="C31" s="221"/>
      <c r="D31" s="221"/>
      <c r="E31" s="221"/>
      <c r="F31" s="221"/>
      <c r="G31" s="266"/>
      <c r="H31" s="221"/>
      <c r="I31" s="14"/>
      <c r="J31" s="144">
        <f t="shared" si="1"/>
        <v>0</v>
      </c>
      <c r="K31" s="248">
        <f>D31-[7]固定項目!D38</f>
        <v>0</v>
      </c>
      <c r="L31" s="248">
        <f>E31-[7]固定項目!E38</f>
        <v>0</v>
      </c>
      <c r="O31" s="249">
        <f>M31-N31+[7]固定項目!O38</f>
        <v>0</v>
      </c>
      <c r="P31" s="244">
        <f t="shared" si="2"/>
        <v>0</v>
      </c>
    </row>
    <row r="32" spans="1:18" ht="21" customHeight="1">
      <c r="A32" s="20"/>
      <c r="B32" s="94" t="s">
        <v>49</v>
      </c>
      <c r="C32" s="221"/>
      <c r="D32" s="221"/>
      <c r="E32" s="221"/>
      <c r="F32" s="221"/>
      <c r="G32" s="266"/>
      <c r="H32" s="221"/>
      <c r="I32" s="14"/>
      <c r="J32" s="144">
        <f t="shared" si="1"/>
        <v>0</v>
      </c>
      <c r="K32" s="248">
        <f>D32-[7]固定項目!D39</f>
        <v>0</v>
      </c>
      <c r="L32" s="248">
        <f>E32-[7]固定項目!E39</f>
        <v>0</v>
      </c>
      <c r="O32" s="249">
        <f>M32-N32+[7]固定項目!O39</f>
        <v>0</v>
      </c>
      <c r="P32" s="244">
        <f t="shared" si="2"/>
        <v>0</v>
      </c>
    </row>
    <row r="33" spans="1:16" ht="21" hidden="1" customHeight="1">
      <c r="A33" s="18"/>
      <c r="B33" s="18"/>
      <c r="C33" s="221"/>
      <c r="D33" s="221"/>
      <c r="E33" s="221"/>
      <c r="F33" s="221"/>
      <c r="G33" s="266"/>
      <c r="H33" s="221"/>
      <c r="I33" s="14"/>
      <c r="J33" s="144">
        <f t="shared" si="1"/>
        <v>0</v>
      </c>
      <c r="K33" s="248">
        <f>D33-[7]固定項目!D41</f>
        <v>0</v>
      </c>
      <c r="L33" s="248">
        <f>E33-[7]固定項目!E41</f>
        <v>0</v>
      </c>
      <c r="O33" s="249">
        <f>M33-N33+[7]固定項目!O41</f>
        <v>0</v>
      </c>
      <c r="P33" s="244">
        <f t="shared" si="2"/>
        <v>0</v>
      </c>
    </row>
    <row r="34" spans="1:16" ht="21" customHeight="1">
      <c r="A34" s="20"/>
      <c r="B34" s="94" t="s">
        <v>201</v>
      </c>
      <c r="C34" s="220"/>
      <c r="D34" s="221"/>
      <c r="E34" s="221"/>
      <c r="F34" s="220"/>
      <c r="G34" s="266"/>
      <c r="H34" s="221"/>
      <c r="I34" s="14"/>
      <c r="J34" s="144">
        <f t="shared" si="1"/>
        <v>0</v>
      </c>
      <c r="K34" s="248">
        <f>D34-[7]固定項目!D42</f>
        <v>0</v>
      </c>
      <c r="L34" s="248">
        <f>E34-[7]固定項目!E42</f>
        <v>0</v>
      </c>
      <c r="M34" s="246"/>
      <c r="N34" s="246">
        <f>E34</f>
        <v>0</v>
      </c>
      <c r="O34" s="249">
        <f>M34-N34+[7]固定項目!O42</f>
        <v>0</v>
      </c>
      <c r="P34" s="244">
        <f t="shared" si="2"/>
        <v>0</v>
      </c>
    </row>
    <row r="35" spans="1:16" ht="21" hidden="1" customHeight="1">
      <c r="A35" s="18"/>
      <c r="B35" s="18"/>
      <c r="C35" s="221"/>
      <c r="D35" s="221"/>
      <c r="E35" s="221"/>
      <c r="F35" s="221"/>
      <c r="G35" s="266"/>
      <c r="H35" s="221"/>
      <c r="I35" s="14"/>
      <c r="J35" s="144">
        <f t="shared" si="1"/>
        <v>0</v>
      </c>
      <c r="K35" s="248">
        <f>D35-[7]固定項目!D44</f>
        <v>0</v>
      </c>
      <c r="L35" s="248">
        <f>E35-[7]固定項目!E44</f>
        <v>0</v>
      </c>
      <c r="O35" s="249">
        <f>M35-N35+[7]固定項目!O44</f>
        <v>0</v>
      </c>
      <c r="P35" s="244">
        <f t="shared" si="2"/>
        <v>0</v>
      </c>
    </row>
    <row r="36" spans="1:16" ht="21" customHeight="1">
      <c r="A36" s="20"/>
      <c r="B36" s="94" t="s">
        <v>50</v>
      </c>
      <c r="C36" s="221"/>
      <c r="D36" s="221"/>
      <c r="E36" s="221"/>
      <c r="F36" s="221"/>
      <c r="G36" s="267"/>
      <c r="H36" s="221"/>
      <c r="I36" s="14"/>
      <c r="J36" s="144">
        <f t="shared" si="1"/>
        <v>0</v>
      </c>
      <c r="K36" s="248">
        <f>D36-[7]固定項目!D45</f>
        <v>0</v>
      </c>
      <c r="L36" s="248">
        <f>E36-[7]固定項目!E45</f>
        <v>0</v>
      </c>
      <c r="O36" s="249">
        <f>M36-N36+[7]固定項目!O45</f>
        <v>0</v>
      </c>
      <c r="P36" s="244">
        <f t="shared" si="2"/>
        <v>0</v>
      </c>
    </row>
    <row r="37" spans="1:16" ht="21" hidden="1" customHeight="1">
      <c r="A37" s="226"/>
      <c r="B37" s="227"/>
      <c r="C37" s="14"/>
      <c r="D37" s="14"/>
      <c r="E37" s="14"/>
      <c r="F37" s="14"/>
      <c r="G37" s="268"/>
      <c r="H37" s="14"/>
      <c r="O37" s="249">
        <f>M37-N37+[7]固定項目!O47</f>
        <v>0</v>
      </c>
      <c r="P37" s="244">
        <f t="shared" si="2"/>
        <v>0</v>
      </c>
    </row>
    <row r="38" spans="1:16" ht="21" customHeight="1">
      <c r="A38" s="226"/>
      <c r="B38" s="228" t="s">
        <v>202</v>
      </c>
      <c r="C38" s="14"/>
      <c r="D38" s="14"/>
      <c r="E38" s="14"/>
      <c r="F38" s="14"/>
      <c r="G38" s="268"/>
      <c r="H38" s="14"/>
      <c r="O38" s="249">
        <f>M38-N38+[7]固定項目!O48</f>
        <v>0</v>
      </c>
      <c r="P38" s="244">
        <f t="shared" si="2"/>
        <v>0</v>
      </c>
    </row>
    <row r="39" spans="1:16" ht="21" hidden="1" customHeight="1">
      <c r="A39" s="226"/>
      <c r="B39" s="227"/>
      <c r="C39" s="14"/>
      <c r="D39" s="14"/>
      <c r="E39" s="14"/>
      <c r="F39" s="14"/>
      <c r="G39" s="268"/>
      <c r="H39" s="14"/>
      <c r="O39" s="249">
        <f>M39-N39+[7]固定項目!O50</f>
        <v>0</v>
      </c>
      <c r="P39" s="244">
        <f t="shared" si="2"/>
        <v>0</v>
      </c>
    </row>
    <row r="40" spans="1:16" ht="21" customHeight="1">
      <c r="A40" s="226"/>
      <c r="B40" s="228" t="s">
        <v>203</v>
      </c>
      <c r="C40" s="14"/>
      <c r="D40" s="14"/>
      <c r="E40" s="14"/>
      <c r="F40" s="14"/>
      <c r="G40" s="268"/>
      <c r="H40" s="14"/>
      <c r="O40" s="249">
        <f>M40-N40+[7]固定項目!O51</f>
        <v>0</v>
      </c>
      <c r="P40" s="244">
        <f t="shared" si="2"/>
        <v>0</v>
      </c>
    </row>
    <row r="41" spans="1:16" ht="21" hidden="1" customHeight="1">
      <c r="A41" s="226"/>
      <c r="B41" s="227"/>
      <c r="C41" s="14"/>
      <c r="D41" s="14"/>
      <c r="E41" s="14"/>
      <c r="F41" s="14"/>
      <c r="G41" s="268"/>
      <c r="H41" s="14"/>
      <c r="O41" s="249">
        <f>M41-N41+[7]固定項目!O53</f>
        <v>0</v>
      </c>
      <c r="P41" s="244">
        <f t="shared" si="2"/>
        <v>0</v>
      </c>
    </row>
    <row r="42" spans="1:16" ht="21" customHeight="1">
      <c r="A42" s="226"/>
      <c r="B42" s="229" t="s">
        <v>204</v>
      </c>
      <c r="C42" s="14"/>
      <c r="D42" s="14"/>
      <c r="E42" s="14"/>
      <c r="F42" s="14"/>
      <c r="G42" s="268"/>
      <c r="H42" s="14"/>
      <c r="O42" s="249">
        <f>M42-N42+[7]固定項目!O54</f>
        <v>0</v>
      </c>
      <c r="P42" s="244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76" bestFit="1" customWidth="1"/>
    <col min="4" max="5" width="11.5703125" style="157" customWidth="1"/>
    <col min="6" max="6" width="12.85546875" style="157" bestFit="1" customWidth="1"/>
    <col min="7" max="7" width="17.85546875" style="157" customWidth="1"/>
    <col min="8" max="8" width="9.5703125" customWidth="1"/>
  </cols>
  <sheetData>
    <row r="1" spans="1:8">
      <c r="A1" s="627" t="s">
        <v>144</v>
      </c>
      <c r="B1" s="627"/>
    </row>
    <row r="2" spans="1:8">
      <c r="A2" s="628" t="s">
        <v>145</v>
      </c>
      <c r="B2" s="627"/>
    </row>
    <row r="3" spans="1:8">
      <c r="A3" s="627" t="s">
        <v>146</v>
      </c>
      <c r="B3" s="627"/>
    </row>
    <row r="4" spans="1:8" ht="28.5">
      <c r="A4" s="627" t="s">
        <v>147</v>
      </c>
      <c r="B4" s="627"/>
      <c r="C4" s="177" t="s">
        <v>179</v>
      </c>
      <c r="D4" s="189" t="s">
        <v>180</v>
      </c>
      <c r="E4" s="157" t="s">
        <v>182</v>
      </c>
      <c r="F4" s="189" t="s">
        <v>181</v>
      </c>
    </row>
    <row r="5" spans="1:8">
      <c r="A5" s="628" t="s">
        <v>148</v>
      </c>
      <c r="B5" s="627"/>
      <c r="C5" s="178" t="str">
        <f>VLOOKUP("應付費用",平衡!$N$13:$U$64,4,0)</f>
        <v>210204</v>
      </c>
      <c r="D5" s="179">
        <f>縣庫對帳!P6</f>
        <v>141920</v>
      </c>
      <c r="E5" s="179">
        <v>40000</v>
      </c>
      <c r="F5" s="179">
        <f>庫款差額!C8+庫款差額!C15-庫款差額!C19-庫款差額!C22</f>
        <v>415233</v>
      </c>
    </row>
    <row r="6" spans="1:8" ht="15" thickBot="1">
      <c r="A6" s="625" t="s">
        <v>149</v>
      </c>
      <c r="B6" s="626"/>
      <c r="C6" s="176" t="s">
        <v>163</v>
      </c>
      <c r="D6" s="191">
        <f>VLOOKUP("銀行存款-縣庫存款",平衡!$E$13:$H$41,4,0)+VLOOKUP("零用及週轉金",平衡!$D$13:$H$41,5,0)</f>
        <v>3411389</v>
      </c>
      <c r="E6" s="191" t="e">
        <f>VLOOKUP("基金餘額",平衡!$K$13:$U$64,7,0)+C5</f>
        <v>#N/A</v>
      </c>
      <c r="F6" s="162" t="s">
        <v>162</v>
      </c>
    </row>
    <row r="7" spans="1:8" ht="15" thickBot="1">
      <c r="A7" s="625" t="s">
        <v>150</v>
      </c>
      <c r="B7" s="626"/>
      <c r="C7" s="176" t="s">
        <v>164</v>
      </c>
      <c r="D7" s="191">
        <f>VLOOKUP("銀行存款-專戶存款",平衡!$E$13:$H$41,4,0)+VLOOKUP("其他預付款",平衡!$D$13:$H$41,5,0)</f>
        <v>7316861</v>
      </c>
      <c r="E7" s="191">
        <f>VLOOKUP("應付代收款",平衡!$N$13:$U$41,7,0)+VLOOKUP("存入保證金",平衡!$N$13:$U$41,7,0)</f>
        <v>7316861</v>
      </c>
      <c r="F7" s="162" t="s">
        <v>165</v>
      </c>
    </row>
    <row r="8" spans="1:8" ht="20.25" thickBot="1">
      <c r="A8" s="77" t="s">
        <v>124</v>
      </c>
      <c r="B8" s="78" t="s">
        <v>125</v>
      </c>
      <c r="C8" s="176" t="s">
        <v>161</v>
      </c>
      <c r="D8" s="192">
        <f>VLOOKUP("合計：",平衡!$A$13:$H$41,8,0)</f>
        <v>53823600</v>
      </c>
      <c r="E8" s="192">
        <f>VLOOKUP("合計：",平衡!$K$13:$U$41,10,0)</f>
        <v>53823600</v>
      </c>
    </row>
    <row r="9" spans="1:8" ht="17.25" thickBot="1">
      <c r="A9" s="73" t="s">
        <v>126</v>
      </c>
      <c r="B9" s="74" t="s">
        <v>127</v>
      </c>
      <c r="C9" s="176" t="s">
        <v>168</v>
      </c>
      <c r="D9" s="192">
        <f>VLOOKUP("基金用途",餘絀表!$C$16:$T$45,18,0)</f>
        <v>29292148</v>
      </c>
      <c r="E9" s="192">
        <f>VLOOKUP("合       計",各項費用!$D$12:$Q$86,14)</f>
        <v>29292148</v>
      </c>
      <c r="F9" s="192">
        <f>縣庫對帳!P3</f>
        <v>29292148</v>
      </c>
    </row>
    <row r="10" spans="1:8" ht="33.75" thickBot="1">
      <c r="A10" s="73" t="s">
        <v>128</v>
      </c>
      <c r="B10" s="74" t="s">
        <v>129</v>
      </c>
      <c r="C10" s="176" t="s">
        <v>324</v>
      </c>
      <c r="D10" s="192">
        <f>VLOOKUP("基金來源",餘絀表!$C$16:$T$45,18,0)</f>
        <v>30961974</v>
      </c>
      <c r="E10" s="192">
        <f>縣庫對帳!N3</f>
        <v>30961974</v>
      </c>
      <c r="F10" s="192"/>
      <c r="G10" s="192"/>
      <c r="H10" s="157" t="e">
        <f>D13-E13</f>
        <v>#N/A</v>
      </c>
    </row>
    <row r="11" spans="1:8" ht="27" customHeight="1">
      <c r="A11" s="620" t="s">
        <v>27</v>
      </c>
      <c r="B11" s="620" t="s">
        <v>130</v>
      </c>
      <c r="C11" s="176" t="s">
        <v>335</v>
      </c>
      <c r="D11" s="192">
        <f>VLOOKUP("政府撥入收入",餘絀表!$C$16:$T$45,18,0)</f>
        <v>30954013</v>
      </c>
      <c r="E11" s="192"/>
      <c r="F11" s="192">
        <f>VLOOKUP("政府撥入收入",收支!$B$14:$N$61,13,0)</f>
        <v>30954013</v>
      </c>
      <c r="G11" s="192">
        <f>VLOOKUP("政府撥入收入",對照表!$B$1:$E$28,4,0)</f>
        <v>30954013</v>
      </c>
    </row>
    <row r="12" spans="1:8" ht="28.5">
      <c r="A12" s="623"/>
      <c r="B12" s="623"/>
      <c r="C12" s="176" t="s">
        <v>336</v>
      </c>
      <c r="D12" s="192"/>
      <c r="E12" s="192"/>
      <c r="F12" s="192">
        <f>VLOOKUP("收入",收支!$A$14:$N$61,14,0)</f>
        <v>35488939</v>
      </c>
      <c r="G12" s="192">
        <f>VLOOKUP("基金來源",對照表!$A$1:$E$28,5,0)</f>
        <v>35488939</v>
      </c>
    </row>
    <row r="13" spans="1:8">
      <c r="A13" s="623"/>
      <c r="B13" s="623"/>
      <c r="C13" s="176" t="s">
        <v>321</v>
      </c>
      <c r="D13" s="192" t="e">
        <f>IF(封面!J10=12,0,VLOOKUP($G$13,平衡!$N$13:$U$41,7,0))</f>
        <v>#N/A</v>
      </c>
      <c r="E13" s="192" t="e">
        <f>IF(封面!J10=12,0,VLOOKUP("本期賸餘（短絀）",收支!$A$14:$N$36,14,0))</f>
        <v>#N/A</v>
      </c>
      <c r="F13" s="192">
        <f>IF(封面!K10=12,0,VLOOKUP("本期賸餘(短絀)",對照表!$A$1:$E$28,5,0))</f>
        <v>3726907</v>
      </c>
      <c r="G13" s="190" t="e">
        <f>IF(E13&gt;=0,"本期賸餘","本期短絀")</f>
        <v>#N/A</v>
      </c>
    </row>
    <row r="14" spans="1:8">
      <c r="A14" s="623"/>
      <c r="B14" s="623"/>
      <c r="C14" s="176" t="s">
        <v>322</v>
      </c>
      <c r="D14" s="192">
        <f>IF(封面!J10=12,0,VLOOKUP("本期賸餘(短絀－)",餘絀表!$C$16:$T$48,18,0))</f>
        <v>1669826</v>
      </c>
      <c r="E14" s="192"/>
      <c r="F14" s="192">
        <f>IF(封面!K11=12,0,VLOOKUP("本期賸餘(短絀)",對照表!$A$1:$C$28,3,0))</f>
        <v>1669826</v>
      </c>
      <c r="G14" s="190"/>
    </row>
    <row r="15" spans="1:8">
      <c r="A15" s="623"/>
      <c r="B15" s="623"/>
      <c r="C15" s="176" t="s">
        <v>323</v>
      </c>
      <c r="D15" s="192">
        <f>IF(封面!J12=12,0,VLOOKUP($G$15,平衡!$K$13:$U$41,10,0))</f>
        <v>46506739</v>
      </c>
      <c r="E15" s="192" t="e">
        <f>IF(封面!J12=12,0,VLOOKUP("期末淨資產",收支!$A$14:$N$36,14,0))</f>
        <v>#N/A</v>
      </c>
      <c r="F15" s="192" t="e">
        <f>IF(封面!K12=12,0,VLOOKUP("期末基金餘額",對照表!$A$1:$E$28,5,0))</f>
        <v>#N/A</v>
      </c>
      <c r="G15" s="190" t="s">
        <v>323</v>
      </c>
    </row>
    <row r="16" spans="1:8" ht="15" thickBot="1">
      <c r="A16" s="624"/>
      <c r="B16" s="624"/>
      <c r="C16" s="176" t="s">
        <v>153</v>
      </c>
      <c r="D16" s="192">
        <f>VLOOKUP("國民教育計畫",主要業務!$B$15:$J$24,7,0)</f>
        <v>2507062</v>
      </c>
      <c r="E16" s="192">
        <f>VLOOKUP("國民教育計畫",餘絀表!$C$16:$T$45,9,0)</f>
        <v>0</v>
      </c>
    </row>
    <row r="17" spans="1:8">
      <c r="A17" s="620" t="s">
        <v>142</v>
      </c>
      <c r="B17" s="620" t="s">
        <v>131</v>
      </c>
      <c r="C17" s="176" t="s">
        <v>154</v>
      </c>
      <c r="D17" s="192">
        <f>主要業務!H17</f>
        <v>29292148</v>
      </c>
      <c r="E17" s="192">
        <f>VLOOKUP("國民教育計畫",餘絀表!$C$16:$T$45,18,0)</f>
        <v>29292148</v>
      </c>
    </row>
    <row r="18" spans="1:8">
      <c r="A18" s="621"/>
      <c r="B18" s="623"/>
      <c r="C18" s="176" t="s">
        <v>155</v>
      </c>
      <c r="D18" s="192">
        <f>主要業務!H20</f>
        <v>0</v>
      </c>
      <c r="E18" s="192" t="e">
        <f>VLOOKUP("建築及設備計畫",餘絀表!$C$16:$T$45,9,0)</f>
        <v>#N/A</v>
      </c>
    </row>
    <row r="19" spans="1:8">
      <c r="A19" s="621"/>
      <c r="B19" s="623"/>
      <c r="C19" s="176" t="s">
        <v>156</v>
      </c>
      <c r="D19" s="192">
        <f>主要業務!H22</f>
        <v>0</v>
      </c>
      <c r="E19" s="192" t="e">
        <f>VLOOKUP("建築及設備計畫",餘絀表!$C$16:$T$45,18,0)</f>
        <v>#N/A</v>
      </c>
    </row>
    <row r="20" spans="1:8">
      <c r="A20" s="621"/>
      <c r="B20" s="623"/>
      <c r="C20" s="176" t="s">
        <v>325</v>
      </c>
      <c r="D20" s="192">
        <f>VLOOKUP("用人費用",各項費用!$F$12:$Q$100,12,0)</f>
        <v>28141899</v>
      </c>
      <c r="E20" s="192">
        <f>VLOOKUP("人事支出",收支!$B$14:$N$61,13,0)</f>
        <v>28141899</v>
      </c>
      <c r="F20" s="192">
        <f>VLOOKUP("用人費用",對照表!$B$1:$E$28,4,0)</f>
        <v>28141899</v>
      </c>
    </row>
    <row r="21" spans="1:8">
      <c r="A21" s="621"/>
      <c r="B21" s="623"/>
      <c r="C21" s="176" t="s">
        <v>326</v>
      </c>
      <c r="D21" s="192">
        <f>IF(E21=0,0,資產!F10+H21)</f>
        <v>2896292</v>
      </c>
      <c r="E21" s="192">
        <f>VLOOKUP("折舊、折耗及攤銷",收支!$B$14:$N$61,13,0)</f>
        <v>2468795</v>
      </c>
      <c r="F21" s="192">
        <f>VLOOKUP("折舊、折耗及攤銷",對照表!$H$1:$J$28,3,0)</f>
        <v>2468795</v>
      </c>
      <c r="G21" s="446" t="s">
        <v>337</v>
      </c>
      <c r="H21" s="447">
        <f>464532-4645</f>
        <v>459887</v>
      </c>
    </row>
    <row r="22" spans="1:8">
      <c r="A22" s="621"/>
      <c r="B22" s="623"/>
      <c r="C22" s="176" t="s">
        <v>297</v>
      </c>
      <c r="D22" s="191">
        <v>0</v>
      </c>
      <c r="E22" s="191"/>
      <c r="F22" s="161"/>
    </row>
    <row r="23" spans="1:8">
      <c r="A23" s="621"/>
      <c r="B23" s="623"/>
      <c r="C23" s="176" t="s">
        <v>298</v>
      </c>
      <c r="D23" s="191">
        <f>D28-D22-D24-D25-D26-D27</f>
        <v>-5</v>
      </c>
      <c r="E23" s="191"/>
      <c r="F23" s="161" t="s">
        <v>299</v>
      </c>
    </row>
    <row r="24" spans="1:8">
      <c r="A24" s="621"/>
      <c r="B24" s="623"/>
      <c r="C24" s="176" t="s">
        <v>300</v>
      </c>
      <c r="D24" s="191"/>
      <c r="E24" s="191"/>
      <c r="F24" s="161" t="s">
        <v>301</v>
      </c>
    </row>
    <row r="25" spans="1:8">
      <c r="A25" s="621"/>
      <c r="B25" s="623"/>
      <c r="C25" s="176" t="s">
        <v>302</v>
      </c>
      <c r="D25" s="191">
        <v>0</v>
      </c>
      <c r="E25" s="191"/>
      <c r="F25" s="161"/>
    </row>
    <row r="26" spans="1:8" ht="15" thickBot="1">
      <c r="A26" s="622"/>
      <c r="B26" s="624"/>
      <c r="C26" s="176" t="s">
        <v>303</v>
      </c>
      <c r="D26" s="191"/>
      <c r="E26" s="191"/>
      <c r="F26" s="161"/>
      <c r="H26" s="159"/>
    </row>
    <row r="27" spans="1:8" ht="33.75" thickBot="1">
      <c r="A27" s="73" t="s">
        <v>132</v>
      </c>
      <c r="B27" s="74" t="s">
        <v>143</v>
      </c>
      <c r="C27" s="176" t="s">
        <v>304</v>
      </c>
      <c r="D27" s="191">
        <v>5</v>
      </c>
      <c r="E27" s="191"/>
      <c r="F27" s="161"/>
    </row>
    <row r="28" spans="1:8" ht="33.75" thickBot="1">
      <c r="A28" s="73" t="s">
        <v>66</v>
      </c>
      <c r="B28" s="74" t="s">
        <v>133</v>
      </c>
      <c r="C28" s="176" t="s">
        <v>305</v>
      </c>
      <c r="D28" s="191"/>
      <c r="E28" s="191"/>
      <c r="F28" s="161" t="s">
        <v>306</v>
      </c>
    </row>
    <row r="29" spans="1:8" ht="17.25" thickBot="1">
      <c r="A29" s="73" t="s">
        <v>134</v>
      </c>
      <c r="B29" s="74" t="s">
        <v>135</v>
      </c>
      <c r="D29" s="179"/>
      <c r="E29" s="179"/>
    </row>
    <row r="30" spans="1:8">
      <c r="A30" s="620" t="s">
        <v>136</v>
      </c>
      <c r="B30" s="620" t="s">
        <v>137</v>
      </c>
      <c r="D30" s="192"/>
      <c r="E30" s="192"/>
      <c r="F30" s="179"/>
    </row>
    <row r="31" spans="1:8">
      <c r="A31" s="623"/>
      <c r="B31" s="623"/>
      <c r="D31" s="192"/>
      <c r="E31" s="192"/>
      <c r="F31" s="179"/>
    </row>
    <row r="32" spans="1:8" ht="15" thickBot="1">
      <c r="A32" s="622"/>
      <c r="B32" s="622"/>
      <c r="D32" s="192"/>
      <c r="E32" s="192"/>
      <c r="F32" s="179"/>
    </row>
    <row r="33" spans="1:2" ht="15" thickBot="1">
      <c r="A33" s="193"/>
      <c r="B33" s="193"/>
    </row>
    <row r="34" spans="1:2" ht="15" thickBot="1">
      <c r="A34" s="193"/>
      <c r="B34" s="193"/>
    </row>
    <row r="35" spans="1:2" ht="15" thickBot="1">
      <c r="A35" s="193"/>
      <c r="B35" s="193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5" t="s">
        <v>139</v>
      </c>
      <c r="B38" s="74" t="s">
        <v>159</v>
      </c>
    </row>
    <row r="39" spans="1:2" ht="33.75" thickBot="1">
      <c r="A39" s="145" t="s">
        <v>126</v>
      </c>
      <c r="B39" s="74" t="s">
        <v>160</v>
      </c>
    </row>
    <row r="40" spans="1:2" ht="17.25" thickBot="1">
      <c r="A40" s="145" t="s">
        <v>140</v>
      </c>
      <c r="B40" s="74" t="s">
        <v>141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5" priority="71" stopIfTrue="1">
      <formula>$D$16&lt;&gt;$E$16</formula>
    </cfRule>
  </conditionalFormatting>
  <conditionalFormatting sqref="D32:E32">
    <cfRule type="expression" dxfId="84" priority="64" stopIfTrue="1">
      <formula>$D$32&lt;&gt;$E$32</formula>
    </cfRule>
  </conditionalFormatting>
  <conditionalFormatting sqref="D17:E17">
    <cfRule type="expression" dxfId="83" priority="62" stopIfTrue="1">
      <formula>$D17&lt;&gt;$E17</formula>
    </cfRule>
  </conditionalFormatting>
  <conditionalFormatting sqref="D18:E18 E19">
    <cfRule type="expression" dxfId="82" priority="61" stopIfTrue="1">
      <formula>$D$18&lt;&gt;$E$18</formula>
    </cfRule>
  </conditionalFormatting>
  <conditionalFormatting sqref="E28">
    <cfRule type="expression" dxfId="81" priority="55" stopIfTrue="1">
      <formula>$D$30&lt;&gt;$E$30</formula>
    </cfRule>
  </conditionalFormatting>
  <conditionalFormatting sqref="E29">
    <cfRule type="expression" dxfId="80" priority="54" stopIfTrue="1">
      <formula>$F$31&lt;&gt;0</formula>
    </cfRule>
  </conditionalFormatting>
  <conditionalFormatting sqref="E30">
    <cfRule type="expression" dxfId="79" priority="51" stopIfTrue="1">
      <formula>$D$30&lt;&gt;$E$30</formula>
    </cfRule>
  </conditionalFormatting>
  <conditionalFormatting sqref="E31">
    <cfRule type="expression" dxfId="78" priority="50" stopIfTrue="1">
      <formula>$F$31&lt;&gt;0</formula>
    </cfRule>
  </conditionalFormatting>
  <conditionalFormatting sqref="D27 D22:E23">
    <cfRule type="expression" dxfId="77" priority="48" stopIfTrue="1">
      <formula>$D23&lt;&gt;$E23</formula>
    </cfRule>
  </conditionalFormatting>
  <conditionalFormatting sqref="E28">
    <cfRule type="expression" dxfId="76" priority="47" stopIfTrue="1">
      <formula>$D$30&lt;&gt;$E$30</formula>
    </cfRule>
  </conditionalFormatting>
  <conditionalFormatting sqref="E28">
    <cfRule type="expression" dxfId="75" priority="46" stopIfTrue="1">
      <formula>$D28&lt;&gt;$E28</formula>
    </cfRule>
  </conditionalFormatting>
  <conditionalFormatting sqref="D28">
    <cfRule type="expression" dxfId="74" priority="45" stopIfTrue="1">
      <formula>$D28&lt;&gt;$E28</formula>
    </cfRule>
  </conditionalFormatting>
  <conditionalFormatting sqref="D24:D26">
    <cfRule type="expression" dxfId="73" priority="44" stopIfTrue="1">
      <formula>$D24&lt;&gt;$E24</formula>
    </cfRule>
  </conditionalFormatting>
  <conditionalFormatting sqref="D27">
    <cfRule type="expression" dxfId="72" priority="43" stopIfTrue="1">
      <formula>$D27&lt;&gt;$E27</formula>
    </cfRule>
  </conditionalFormatting>
  <conditionalFormatting sqref="D14 F14:F15">
    <cfRule type="expression" dxfId="71" priority="42">
      <formula>$D$14&lt;&gt;$F$14</formula>
    </cfRule>
  </conditionalFormatting>
  <conditionalFormatting sqref="F15">
    <cfRule type="expression" dxfId="70" priority="34">
      <formula>$E$15&lt;&gt;$F$15</formula>
    </cfRule>
    <cfRule type="expression" dxfId="69" priority="35">
      <formula>$D$15&lt;&gt;$F$15</formula>
    </cfRule>
    <cfRule type="expression" dxfId="68" priority="40">
      <formula>$D$14&lt;&gt;$F$14</formula>
    </cfRule>
  </conditionalFormatting>
  <conditionalFormatting sqref="D15">
    <cfRule type="expression" dxfId="67" priority="38">
      <formula>$D$15&lt;&gt;$F$15</formula>
    </cfRule>
    <cfRule type="expression" dxfId="66" priority="39">
      <formula>$D$15&lt;&gt;$E$15</formula>
    </cfRule>
  </conditionalFormatting>
  <conditionalFormatting sqref="E15">
    <cfRule type="expression" dxfId="65" priority="36">
      <formula>$E$15&lt;&gt;$F$15</formula>
    </cfRule>
    <cfRule type="expression" dxfId="64" priority="37">
      <formula>$D$15&lt;&gt;$E$15</formula>
    </cfRule>
  </conditionalFormatting>
  <conditionalFormatting sqref="D7:E7">
    <cfRule type="expression" dxfId="63" priority="33">
      <formula>$D$7&lt;&gt;$E$7</formula>
    </cfRule>
  </conditionalFormatting>
  <conditionalFormatting sqref="D8:E8">
    <cfRule type="expression" dxfId="62" priority="32">
      <formula>$D$8&lt;&gt;$E$8</formula>
    </cfRule>
  </conditionalFormatting>
  <conditionalFormatting sqref="E16:E17">
    <cfRule type="expression" dxfId="61" priority="74" stopIfTrue="1">
      <formula>#REF!&lt;&gt;#REF!</formula>
    </cfRule>
  </conditionalFormatting>
  <conditionalFormatting sqref="E18:E19">
    <cfRule type="expression" dxfId="60" priority="95" stopIfTrue="1">
      <formula>#REF!&lt;&gt;#REF!</formula>
    </cfRule>
  </conditionalFormatting>
  <conditionalFormatting sqref="E6:E7">
    <cfRule type="expression" dxfId="59" priority="97" stopIfTrue="1">
      <formula>$D13&lt;&gt;$F13</formula>
    </cfRule>
  </conditionalFormatting>
  <conditionalFormatting sqref="D20:F20">
    <cfRule type="expression" dxfId="58" priority="16">
      <formula>$D$20&lt;&gt;$E$20</formula>
    </cfRule>
  </conditionalFormatting>
  <conditionalFormatting sqref="D20:F20">
    <cfRule type="expression" dxfId="57" priority="15">
      <formula>$E$20&lt;&gt;$F$20</formula>
    </cfRule>
  </conditionalFormatting>
  <conditionalFormatting sqref="D21:F21">
    <cfRule type="expression" dxfId="56" priority="10">
      <formula>$D$21&lt;&gt;$E$21</formula>
    </cfRule>
  </conditionalFormatting>
  <conditionalFormatting sqref="D21:F21">
    <cfRule type="expression" dxfId="55" priority="9">
      <formula>$D$21&lt;&gt;$F$21</formula>
    </cfRule>
  </conditionalFormatting>
  <conditionalFormatting sqref="D9:F9">
    <cfRule type="expression" dxfId="54" priority="6">
      <formula>$D$9&lt;&gt;$F$9</formula>
    </cfRule>
    <cfRule type="expression" dxfId="53" priority="7">
      <formula>$D$9&lt;&gt;$E$9</formula>
    </cfRule>
  </conditionalFormatting>
  <conditionalFormatting sqref="D10:G10">
    <cfRule type="expression" dxfId="52" priority="3">
      <formula>$D$10&lt;&gt;$E$10</formula>
    </cfRule>
  </conditionalFormatting>
  <conditionalFormatting sqref="F12:G12">
    <cfRule type="expression" dxfId="51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901" t="s">
        <v>83</v>
      </c>
      <c r="B1" s="902"/>
      <c r="C1" s="902"/>
      <c r="D1" s="902"/>
      <c r="E1" s="902"/>
      <c r="F1" s="902"/>
      <c r="G1" s="902"/>
      <c r="H1" s="902"/>
      <c r="I1" s="902"/>
      <c r="J1" s="902"/>
      <c r="K1" s="902"/>
      <c r="L1" s="902"/>
      <c r="M1" s="902"/>
      <c r="N1" s="902"/>
      <c r="O1" s="902"/>
      <c r="P1" s="902"/>
      <c r="Q1" s="902"/>
      <c r="R1" s="903"/>
    </row>
    <row r="2" spans="1:85">
      <c r="A2" s="904" t="str">
        <f>"茲列出 貴機關"&amp;封面!H10&amp;封面!J10&amp;"01至"&amp;封面!H10&amp;封面!J10&amp;封面!O10&amp;"歲出分配餘額暨支付明細，送請詳加核對"</f>
        <v>茲列出 貴機關112901至112930歲出分配餘額暨支付明細，送請詳加核對</v>
      </c>
      <c r="B2" s="905"/>
      <c r="C2" s="905"/>
      <c r="D2" s="905"/>
      <c r="E2" s="905"/>
      <c r="F2" s="905"/>
      <c r="G2" s="905"/>
      <c r="H2" s="905"/>
      <c r="I2" s="905"/>
      <c r="J2" s="905"/>
      <c r="K2" s="905"/>
      <c r="L2" s="905"/>
      <c r="M2" s="905"/>
      <c r="N2" s="905"/>
      <c r="O2" s="905"/>
      <c r="P2" s="905"/>
      <c r="Q2" s="905"/>
      <c r="R2" s="906"/>
    </row>
    <row r="3" spans="1:85">
      <c r="A3" s="907" t="s">
        <v>84</v>
      </c>
      <c r="B3" s="908"/>
      <c r="C3" s="908"/>
      <c r="D3" s="908"/>
      <c r="E3" s="908"/>
      <c r="F3" s="908"/>
      <c r="G3" s="908"/>
      <c r="H3" s="908"/>
      <c r="I3" s="908"/>
      <c r="J3" s="908"/>
      <c r="K3" s="908"/>
      <c r="L3" s="908"/>
      <c r="M3" s="908"/>
      <c r="N3" s="908"/>
      <c r="O3" s="908"/>
      <c r="P3" s="908"/>
      <c r="Q3" s="908"/>
      <c r="R3" s="909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76" t="s">
        <v>85</v>
      </c>
      <c r="D5" s="876"/>
      <c r="E5" s="876"/>
      <c r="F5" s="876"/>
      <c r="G5" s="876"/>
      <c r="H5" s="876" t="s">
        <v>86</v>
      </c>
      <c r="I5" s="876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900"/>
      <c r="D6" s="879"/>
      <c r="E6" s="879"/>
      <c r="F6" s="898" t="s">
        <v>88</v>
      </c>
      <c r="G6" s="874"/>
      <c r="H6" s="874"/>
      <c r="I6" s="874"/>
      <c r="J6" s="874"/>
      <c r="K6" s="874"/>
      <c r="L6" s="33"/>
      <c r="M6" s="33"/>
      <c r="N6" s="33"/>
      <c r="O6" s="33"/>
      <c r="P6" s="33"/>
      <c r="Q6" s="33"/>
      <c r="R6" s="40"/>
    </row>
    <row r="7" spans="1:85">
      <c r="A7" s="38"/>
      <c r="B7" s="898" t="s">
        <v>89</v>
      </c>
      <c r="C7" s="898"/>
      <c r="D7" s="898"/>
      <c r="E7" s="898"/>
      <c r="F7" s="898"/>
      <c r="G7" s="898"/>
      <c r="H7" s="898"/>
      <c r="I7" s="898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98" t="s">
        <v>90</v>
      </c>
      <c r="C8" s="898"/>
      <c r="D8" s="898"/>
      <c r="E8" s="898"/>
      <c r="F8" s="898"/>
      <c r="G8" s="898"/>
      <c r="H8" s="898"/>
      <c r="I8" s="898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80" t="s">
        <v>92</v>
      </c>
      <c r="C9" s="880"/>
      <c r="D9" s="880"/>
      <c r="E9" s="880"/>
      <c r="F9" s="880"/>
      <c r="G9" s="880"/>
      <c r="H9" s="880"/>
      <c r="I9" s="880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99" t="s">
        <v>93</v>
      </c>
      <c r="B10" s="876"/>
      <c r="C10" s="876"/>
      <c r="D10" s="877"/>
      <c r="E10" s="875" t="s">
        <v>94</v>
      </c>
      <c r="F10" s="877"/>
      <c r="G10" s="875" t="s">
        <v>95</v>
      </c>
      <c r="H10" s="877"/>
      <c r="I10" s="875" t="s">
        <v>96</v>
      </c>
      <c r="J10" s="877"/>
      <c r="K10" s="875" t="s">
        <v>71</v>
      </c>
      <c r="L10" s="877"/>
      <c r="M10" s="875" t="s">
        <v>97</v>
      </c>
      <c r="N10" s="876"/>
      <c r="O10" s="876"/>
      <c r="P10" s="876"/>
      <c r="Q10" s="876"/>
      <c r="R10" s="877"/>
    </row>
    <row r="11" spans="1:85" ht="52.5" customHeight="1">
      <c r="A11" s="869" t="s">
        <v>98</v>
      </c>
      <c r="B11" s="870"/>
      <c r="C11" s="870"/>
      <c r="D11" s="871"/>
      <c r="E11" s="891" t="s">
        <v>99</v>
      </c>
      <c r="F11" s="892"/>
      <c r="G11" s="865">
        <v>1053704</v>
      </c>
      <c r="H11" s="866"/>
      <c r="I11" s="865">
        <v>365251010501182</v>
      </c>
      <c r="J11" s="866"/>
      <c r="K11" s="867">
        <v>26000</v>
      </c>
      <c r="L11" s="868"/>
      <c r="M11" s="869" t="s">
        <v>100</v>
      </c>
      <c r="N11" s="870"/>
      <c r="O11" s="870"/>
      <c r="P11" s="870"/>
      <c r="Q11" s="870"/>
      <c r="R11" s="871"/>
      <c r="S11" s="45" t="s">
        <v>101</v>
      </c>
    </row>
    <row r="12" spans="1:85" ht="54" customHeight="1">
      <c r="A12" s="869" t="s">
        <v>102</v>
      </c>
      <c r="B12" s="870"/>
      <c r="C12" s="870"/>
      <c r="D12" s="871"/>
      <c r="E12" s="891" t="s">
        <v>103</v>
      </c>
      <c r="F12" s="892"/>
      <c r="G12" s="865">
        <v>1050843</v>
      </c>
      <c r="H12" s="866"/>
      <c r="I12" s="865">
        <v>365251010500989</v>
      </c>
      <c r="J12" s="866"/>
      <c r="K12" s="867">
        <v>129310</v>
      </c>
      <c r="L12" s="868"/>
      <c r="M12" s="869" t="s">
        <v>104</v>
      </c>
      <c r="N12" s="870"/>
      <c r="O12" s="870"/>
      <c r="P12" s="870"/>
      <c r="Q12" s="870"/>
      <c r="R12" s="871"/>
    </row>
    <row r="13" spans="1:85" ht="52.5" customHeight="1">
      <c r="A13" s="869" t="s">
        <v>105</v>
      </c>
      <c r="B13" s="870"/>
      <c r="C13" s="870"/>
      <c r="D13" s="871"/>
      <c r="E13" s="891" t="s">
        <v>99</v>
      </c>
      <c r="F13" s="892"/>
      <c r="G13" s="865">
        <v>1053632</v>
      </c>
      <c r="H13" s="866"/>
      <c r="I13" s="865">
        <v>365251010501170</v>
      </c>
      <c r="J13" s="866"/>
      <c r="K13" s="867">
        <v>12925</v>
      </c>
      <c r="L13" s="868"/>
      <c r="M13" s="869" t="s">
        <v>106</v>
      </c>
      <c r="N13" s="870"/>
      <c r="O13" s="870"/>
      <c r="P13" s="870"/>
      <c r="Q13" s="870"/>
      <c r="R13" s="871"/>
    </row>
    <row r="14" spans="1:85">
      <c r="A14" s="893"/>
      <c r="B14" s="894"/>
      <c r="C14" s="894"/>
      <c r="D14" s="895"/>
      <c r="E14" s="896"/>
      <c r="F14" s="897"/>
      <c r="G14" s="872"/>
      <c r="H14" s="873"/>
      <c r="I14" s="872"/>
      <c r="J14" s="873"/>
      <c r="K14" s="884"/>
      <c r="L14" s="885"/>
      <c r="M14" s="886"/>
      <c r="N14" s="887"/>
      <c r="O14" s="887"/>
      <c r="P14" s="887"/>
      <c r="Q14" s="887"/>
      <c r="R14" s="888"/>
    </row>
    <row r="15" spans="1:85">
      <c r="A15" s="875" t="s">
        <v>107</v>
      </c>
      <c r="B15" s="876"/>
      <c r="C15" s="876"/>
      <c r="D15" s="876"/>
      <c r="E15" s="876"/>
      <c r="F15" s="876"/>
      <c r="G15" s="876"/>
      <c r="H15" s="876"/>
      <c r="I15" s="876"/>
      <c r="J15" s="876"/>
      <c r="K15" s="876"/>
      <c r="L15" s="876"/>
      <c r="M15" s="876"/>
      <c r="N15" s="876"/>
      <c r="O15" s="876"/>
      <c r="P15" s="876"/>
      <c r="Q15" s="876"/>
      <c r="R15" s="87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78" t="s">
        <v>108</v>
      </c>
      <c r="B16" s="879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80" t="s">
        <v>110</v>
      </c>
      <c r="D18" s="880"/>
      <c r="E18" s="43"/>
      <c r="F18" s="43"/>
      <c r="G18" s="42"/>
      <c r="H18" s="42"/>
      <c r="I18" s="880" t="s">
        <v>111</v>
      </c>
      <c r="J18" s="880"/>
      <c r="K18" s="880"/>
      <c r="L18" s="43"/>
      <c r="M18" s="43"/>
      <c r="N18" s="43"/>
      <c r="O18" s="43"/>
      <c r="P18" s="881">
        <f ca="1">NOW()</f>
        <v>45260.488363888886</v>
      </c>
      <c r="Q18" s="882"/>
      <c r="R18" s="88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79" t="s">
        <v>112</v>
      </c>
      <c r="B19" s="879"/>
      <c r="E19" s="889" t="s">
        <v>113</v>
      </c>
      <c r="F19" s="890"/>
      <c r="G19" s="890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74" t="s">
        <v>115</v>
      </c>
      <c r="B20" s="874"/>
      <c r="F20" s="874" t="s">
        <v>115</v>
      </c>
      <c r="G20" s="874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728EE-0F6B-448F-9D28-56D3416C34C2}">
  <sheetPr>
    <outlinePr summaryBelow="0"/>
    <pageSetUpPr autoPageBreaks="0"/>
  </sheetPr>
  <dimension ref="A1:Z200"/>
  <sheetViews>
    <sheetView showGridLines="0" topLeftCell="A94" workbookViewId="0">
      <selection activeCell="Z120" sqref="Z120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hidden="1" customWidth="1"/>
    <col min="12" max="12" width="2.85546875" hidden="1" customWidth="1"/>
    <col min="13" max="13" width="1" hidden="1" customWidth="1"/>
    <col min="14" max="14" width="8" hidden="1" customWidth="1"/>
    <col min="15" max="15" width="2.28515625" hidden="1" customWidth="1"/>
    <col min="16" max="16" width="2.140625" hidden="1" customWidth="1"/>
    <col min="17" max="17" width="9.28515625" customWidth="1"/>
    <col min="18" max="18" width="4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1.85546875" style="606" customWidth="1"/>
    <col min="26" max="26" width="11.42578125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1" spans="1:25" ht="6" customHeight="1"/>
    <row r="2" spans="1:25" ht="18.75" customHeight="1">
      <c r="R2" s="629" t="s">
        <v>687</v>
      </c>
      <c r="S2" s="629"/>
      <c r="T2" s="629"/>
      <c r="U2" s="629"/>
      <c r="V2" s="629"/>
      <c r="W2" s="629"/>
    </row>
    <row r="3" spans="1:25" ht="24" customHeight="1">
      <c r="A3" s="630" t="s">
        <v>688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630"/>
      <c r="O3" s="630"/>
      <c r="P3" s="630"/>
      <c r="Q3" s="630"/>
      <c r="R3" s="630"/>
      <c r="S3" s="630"/>
      <c r="T3" s="630"/>
      <c r="U3" s="630"/>
      <c r="V3" s="630"/>
      <c r="W3" s="630"/>
    </row>
    <row r="4" spans="1:25" ht="24" customHeight="1">
      <c r="A4" s="630" t="s">
        <v>689</v>
      </c>
      <c r="B4" s="630"/>
      <c r="C4" s="630"/>
      <c r="D4" s="630"/>
      <c r="E4" s="630"/>
      <c r="F4" s="630"/>
      <c r="G4" s="630"/>
      <c r="H4" s="630"/>
      <c r="I4" s="630"/>
      <c r="J4" s="630"/>
      <c r="K4" s="630"/>
      <c r="L4" s="630"/>
      <c r="M4" s="630"/>
      <c r="N4" s="630"/>
      <c r="O4" s="630"/>
      <c r="P4" s="630"/>
      <c r="Q4" s="630"/>
      <c r="R4" s="630"/>
      <c r="S4" s="630"/>
      <c r="T4" s="630"/>
      <c r="U4" s="630"/>
      <c r="V4" s="630"/>
      <c r="W4" s="630"/>
    </row>
    <row r="5" spans="1:25" ht="24" customHeight="1">
      <c r="A5" s="630" t="s">
        <v>690</v>
      </c>
      <c r="B5" s="630"/>
      <c r="C5" s="630"/>
      <c r="D5" s="630"/>
      <c r="E5" s="630"/>
      <c r="F5" s="630"/>
      <c r="G5" s="630"/>
      <c r="H5" s="630"/>
      <c r="I5" s="630"/>
      <c r="J5" s="630"/>
      <c r="K5" s="630"/>
      <c r="L5" s="630"/>
      <c r="M5" s="630"/>
      <c r="N5" s="630"/>
      <c r="O5" s="630"/>
      <c r="P5" s="630"/>
      <c r="Q5" s="630"/>
      <c r="R5" s="630"/>
      <c r="S5" s="630"/>
      <c r="T5" s="630"/>
      <c r="U5" s="630"/>
      <c r="V5" s="630"/>
      <c r="W5" s="630"/>
    </row>
    <row r="6" spans="1:25" ht="20.25" customHeight="1"/>
    <row r="7" spans="1:25" ht="12" customHeight="1">
      <c r="A7" s="631" t="s">
        <v>691</v>
      </c>
      <c r="B7" s="631"/>
      <c r="C7" s="631"/>
      <c r="E7" s="631" t="s">
        <v>692</v>
      </c>
      <c r="F7" s="631" t="s">
        <v>693</v>
      </c>
      <c r="G7" s="631"/>
      <c r="H7" s="631" t="s">
        <v>694</v>
      </c>
      <c r="I7" s="631"/>
      <c r="K7" s="631" t="s">
        <v>695</v>
      </c>
      <c r="L7" s="631"/>
      <c r="N7" s="631" t="s">
        <v>696</v>
      </c>
      <c r="Q7" s="631" t="s">
        <v>697</v>
      </c>
      <c r="R7" s="631"/>
      <c r="T7" s="631" t="s">
        <v>698</v>
      </c>
      <c r="W7" s="631" t="s">
        <v>699</v>
      </c>
      <c r="X7" s="631"/>
    </row>
    <row r="8" spans="1:25" ht="12" customHeight="1">
      <c r="A8" s="631"/>
      <c r="B8" s="631"/>
      <c r="C8" s="631"/>
      <c r="E8" s="631"/>
      <c r="F8" s="631"/>
      <c r="G8" s="631"/>
      <c r="H8" s="631"/>
      <c r="I8" s="631"/>
      <c r="K8" s="631"/>
      <c r="L8" s="631"/>
      <c r="N8" s="631"/>
      <c r="Q8" s="631"/>
      <c r="R8" s="631"/>
      <c r="T8" s="631"/>
      <c r="W8" s="631"/>
      <c r="X8" s="631"/>
    </row>
    <row r="9" spans="1:25" ht="16.5" customHeight="1">
      <c r="A9" s="631"/>
      <c r="B9" s="631"/>
      <c r="C9" s="631"/>
      <c r="E9" s="631"/>
      <c r="F9" s="631"/>
      <c r="G9" s="631"/>
      <c r="H9" s="631"/>
      <c r="I9" s="631"/>
      <c r="K9" s="631"/>
      <c r="L9" s="631"/>
      <c r="N9" s="631"/>
      <c r="Q9" s="631"/>
      <c r="R9" s="631"/>
      <c r="T9" s="631"/>
      <c r="W9" s="631"/>
      <c r="X9" s="631"/>
    </row>
    <row r="10" spans="1:25" ht="6" customHeight="1"/>
    <row r="11" spans="1:25" s="598" customFormat="1" ht="14.25" customHeight="1">
      <c r="B11" s="634" t="s">
        <v>700</v>
      </c>
      <c r="C11" s="634"/>
      <c r="E11" s="599">
        <v>336367</v>
      </c>
      <c r="G11" s="599">
        <v>336367</v>
      </c>
      <c r="I11" s="599">
        <v>336367</v>
      </c>
      <c r="Y11" s="607"/>
    </row>
    <row r="12" spans="1:25" s="598" customFormat="1" ht="14.25" customHeight="1">
      <c r="B12" s="634"/>
      <c r="C12" s="634"/>
      <c r="Y12" s="607"/>
    </row>
    <row r="13" spans="1:25" s="598" customFormat="1" ht="14.25" customHeight="1">
      <c r="B13" s="634" t="s">
        <v>701</v>
      </c>
      <c r="C13" s="634"/>
      <c r="E13" s="599">
        <v>3</v>
      </c>
      <c r="Q13" s="635">
        <v>3</v>
      </c>
      <c r="R13" s="635"/>
      <c r="T13" s="635">
        <v>3</v>
      </c>
      <c r="U13" s="635"/>
      <c r="W13" s="635">
        <v>3</v>
      </c>
      <c r="X13" s="635"/>
      <c r="Y13" s="607"/>
    </row>
    <row r="14" spans="1:25" s="598" customFormat="1" ht="14.25" customHeight="1">
      <c r="B14" s="634"/>
      <c r="C14" s="634"/>
      <c r="Y14" s="607">
        <f>SUM(Q11:R14)</f>
        <v>3</v>
      </c>
    </row>
    <row r="15" spans="1:25" ht="14.25" customHeight="1">
      <c r="B15" s="632" t="s">
        <v>702</v>
      </c>
      <c r="C15" s="632"/>
      <c r="E15" s="595">
        <v>2828574</v>
      </c>
      <c r="G15" s="595">
        <v>2828574</v>
      </c>
      <c r="I15" s="595">
        <v>2828574</v>
      </c>
    </row>
    <row r="16" spans="1:25" ht="14.25" customHeight="1">
      <c r="B16" s="632"/>
      <c r="C16" s="632"/>
    </row>
    <row r="17" spans="2:24" ht="14.25" customHeight="1">
      <c r="B17" s="632" t="s">
        <v>703</v>
      </c>
      <c r="C17" s="632"/>
      <c r="E17" s="595">
        <v>738329</v>
      </c>
      <c r="G17" s="595">
        <v>738329</v>
      </c>
      <c r="I17" s="595">
        <v>738329</v>
      </c>
    </row>
    <row r="18" spans="2:24" ht="14.25" customHeight="1">
      <c r="B18" s="632"/>
      <c r="C18" s="632"/>
    </row>
    <row r="19" spans="2:24" ht="14.25" customHeight="1">
      <c r="B19" s="632" t="s">
        <v>704</v>
      </c>
      <c r="C19" s="632"/>
      <c r="E19" s="595">
        <v>252461</v>
      </c>
      <c r="G19" s="595">
        <v>241573</v>
      </c>
      <c r="I19" s="595">
        <v>241573</v>
      </c>
      <c r="Q19" s="633">
        <v>10888</v>
      </c>
      <c r="R19" s="633"/>
      <c r="T19" s="633">
        <v>10888</v>
      </c>
      <c r="U19" s="633"/>
      <c r="W19" s="633">
        <v>10888</v>
      </c>
      <c r="X19" s="633"/>
    </row>
    <row r="20" spans="2:24" ht="14.25" customHeight="1">
      <c r="B20" s="632"/>
      <c r="C20" s="632"/>
    </row>
    <row r="21" spans="2:24" ht="14.25" customHeight="1">
      <c r="B21" s="632" t="s">
        <v>705</v>
      </c>
      <c r="C21" s="632"/>
      <c r="E21" s="595">
        <v>121620</v>
      </c>
      <c r="G21" s="595">
        <v>121620</v>
      </c>
      <c r="I21" s="595">
        <v>121620</v>
      </c>
    </row>
    <row r="22" spans="2:24" ht="14.25" customHeight="1">
      <c r="B22" s="632"/>
      <c r="C22" s="632"/>
    </row>
    <row r="23" spans="2:24" ht="14.25" customHeight="1">
      <c r="B23" s="632" t="s">
        <v>706</v>
      </c>
      <c r="C23" s="632"/>
      <c r="E23" s="595">
        <v>502371</v>
      </c>
      <c r="G23" s="595">
        <v>502371</v>
      </c>
      <c r="I23" s="595">
        <v>502371</v>
      </c>
    </row>
    <row r="24" spans="2:24" ht="14.25" customHeight="1">
      <c r="B24" s="632"/>
      <c r="C24" s="632"/>
    </row>
    <row r="25" spans="2:24" ht="14.25" customHeight="1">
      <c r="B25" s="632" t="s">
        <v>707</v>
      </c>
      <c r="C25" s="632"/>
      <c r="E25" s="595">
        <v>9080</v>
      </c>
      <c r="G25" s="595">
        <v>2431</v>
      </c>
      <c r="I25" s="595">
        <v>9080</v>
      </c>
    </row>
    <row r="26" spans="2:24" ht="14.25" customHeight="1">
      <c r="B26" s="632"/>
      <c r="C26" s="632"/>
    </row>
    <row r="27" spans="2:24" ht="14.25" customHeight="1">
      <c r="B27" s="632" t="s">
        <v>708</v>
      </c>
      <c r="C27" s="632"/>
      <c r="E27" s="595">
        <v>109862</v>
      </c>
      <c r="G27" s="595">
        <v>109847</v>
      </c>
      <c r="I27" s="595">
        <v>109847</v>
      </c>
      <c r="Q27" s="633">
        <v>15</v>
      </c>
      <c r="R27" s="633"/>
      <c r="T27" s="633">
        <v>15</v>
      </c>
      <c r="U27" s="633"/>
      <c r="W27" s="633">
        <v>15</v>
      </c>
      <c r="X27" s="633"/>
    </row>
    <row r="28" spans="2:24" ht="14.25" customHeight="1">
      <c r="B28" s="632"/>
      <c r="C28" s="632"/>
    </row>
    <row r="29" spans="2:24" ht="14.25" customHeight="1">
      <c r="B29" s="632" t="s">
        <v>709</v>
      </c>
      <c r="C29" s="632"/>
      <c r="E29" s="595">
        <v>14304</v>
      </c>
      <c r="G29" s="595">
        <v>14304</v>
      </c>
      <c r="I29" s="595">
        <v>14304</v>
      </c>
    </row>
    <row r="30" spans="2:24" ht="14.25" customHeight="1">
      <c r="B30" s="632"/>
      <c r="C30" s="632"/>
    </row>
    <row r="31" spans="2:24" ht="14.25" customHeight="1">
      <c r="B31" s="632" t="s">
        <v>710</v>
      </c>
      <c r="C31" s="632"/>
      <c r="E31" s="595">
        <v>119387</v>
      </c>
      <c r="G31" s="595">
        <v>119387</v>
      </c>
      <c r="I31" s="595">
        <v>119387</v>
      </c>
    </row>
    <row r="32" spans="2:24" ht="14.25" customHeight="1">
      <c r="B32" s="632"/>
      <c r="C32" s="632"/>
    </row>
    <row r="33" spans="2:24" ht="14.25" customHeight="1">
      <c r="B33" s="632" t="s">
        <v>711</v>
      </c>
      <c r="C33" s="632"/>
      <c r="E33" s="595">
        <v>1122683</v>
      </c>
      <c r="G33" s="595">
        <v>1048020</v>
      </c>
      <c r="I33" s="595">
        <v>1048020</v>
      </c>
      <c r="Q33" s="633">
        <v>74663</v>
      </c>
      <c r="R33" s="633"/>
      <c r="T33" s="633">
        <v>74663</v>
      </c>
      <c r="U33" s="633"/>
      <c r="W33" s="633">
        <v>74663</v>
      </c>
      <c r="X33" s="633"/>
    </row>
    <row r="34" spans="2:24" ht="14.25" customHeight="1">
      <c r="B34" s="632"/>
      <c r="C34" s="632"/>
    </row>
    <row r="35" spans="2:24" ht="14.25" customHeight="1">
      <c r="B35" s="632" t="s">
        <v>712</v>
      </c>
      <c r="C35" s="632"/>
      <c r="E35" s="595">
        <v>177547</v>
      </c>
      <c r="G35" s="595">
        <v>167526</v>
      </c>
      <c r="I35" s="595">
        <v>167526</v>
      </c>
      <c r="Q35" s="633">
        <v>10021</v>
      </c>
      <c r="R35" s="633"/>
      <c r="T35" s="633">
        <v>10021</v>
      </c>
      <c r="U35" s="633"/>
      <c r="W35" s="633">
        <v>10021</v>
      </c>
      <c r="X35" s="633"/>
    </row>
    <row r="36" spans="2:24" ht="14.25" customHeight="1">
      <c r="B36" s="632"/>
      <c r="C36" s="632"/>
    </row>
    <row r="37" spans="2:24" ht="14.25" customHeight="1">
      <c r="B37" s="632" t="s">
        <v>713</v>
      </c>
      <c r="C37" s="632"/>
      <c r="E37" s="595">
        <v>88693</v>
      </c>
      <c r="G37" s="595">
        <v>88693</v>
      </c>
      <c r="I37" s="595">
        <v>88693</v>
      </c>
    </row>
    <row r="38" spans="2:24" ht="14.25" customHeight="1">
      <c r="B38" s="632"/>
      <c r="C38" s="632"/>
    </row>
    <row r="39" spans="2:24" ht="14.25" customHeight="1">
      <c r="B39" s="632" t="s">
        <v>714</v>
      </c>
      <c r="C39" s="632"/>
      <c r="E39" s="595">
        <v>22400</v>
      </c>
      <c r="G39" s="595">
        <v>12700</v>
      </c>
      <c r="I39" s="595">
        <v>12700</v>
      </c>
      <c r="Q39" s="633">
        <v>9700</v>
      </c>
      <c r="R39" s="633"/>
      <c r="T39" s="633">
        <v>9700</v>
      </c>
      <c r="U39" s="633"/>
      <c r="W39" s="633">
        <v>9700</v>
      </c>
      <c r="X39" s="633"/>
    </row>
    <row r="40" spans="2:24" ht="14.25" customHeight="1">
      <c r="B40" s="632"/>
      <c r="C40" s="632"/>
    </row>
    <row r="41" spans="2:24" ht="14.25" customHeight="1">
      <c r="B41" s="632" t="s">
        <v>715</v>
      </c>
      <c r="C41" s="632"/>
      <c r="E41" s="595">
        <v>78225</v>
      </c>
      <c r="G41" s="595">
        <v>57050</v>
      </c>
      <c r="I41" s="595">
        <v>57050</v>
      </c>
      <c r="Q41" s="633">
        <v>21175</v>
      </c>
      <c r="R41" s="633"/>
      <c r="T41" s="633">
        <v>21175</v>
      </c>
      <c r="U41" s="633"/>
      <c r="W41" s="633">
        <v>21175</v>
      </c>
      <c r="X41" s="633"/>
    </row>
    <row r="42" spans="2:24" ht="14.25" customHeight="1">
      <c r="B42" s="632"/>
      <c r="C42" s="632"/>
    </row>
    <row r="43" spans="2:24" ht="14.25" customHeight="1">
      <c r="B43" s="632" t="s">
        <v>716</v>
      </c>
      <c r="C43" s="632"/>
      <c r="E43" s="595">
        <v>295407</v>
      </c>
      <c r="G43" s="595">
        <v>154567</v>
      </c>
      <c r="I43" s="595">
        <v>154567</v>
      </c>
      <c r="Q43" s="633">
        <v>140840</v>
      </c>
      <c r="R43" s="633"/>
      <c r="T43" s="633">
        <v>140840</v>
      </c>
      <c r="U43" s="633"/>
      <c r="W43" s="633">
        <v>140840</v>
      </c>
      <c r="X43" s="633"/>
    </row>
    <row r="44" spans="2:24" ht="14.25" customHeight="1">
      <c r="B44" s="632"/>
      <c r="C44" s="632"/>
    </row>
    <row r="45" spans="2:24" ht="14.25" customHeight="1">
      <c r="B45" s="632" t="s">
        <v>717</v>
      </c>
      <c r="C45" s="632"/>
      <c r="E45" s="595">
        <v>108215</v>
      </c>
      <c r="G45" s="595">
        <v>108215</v>
      </c>
      <c r="I45" s="595">
        <v>108215</v>
      </c>
    </row>
    <row r="46" spans="2:24" ht="14.25" customHeight="1">
      <c r="B46" s="632"/>
      <c r="C46" s="632"/>
    </row>
    <row r="47" spans="2:24" ht="14.25" customHeight="1">
      <c r="B47" s="632" t="s">
        <v>718</v>
      </c>
      <c r="C47" s="632"/>
      <c r="E47" s="595">
        <v>24080</v>
      </c>
      <c r="G47" s="595">
        <v>24080</v>
      </c>
      <c r="I47" s="595">
        <v>24080</v>
      </c>
    </row>
    <row r="48" spans="2:24" ht="14.25" customHeight="1">
      <c r="B48" s="632"/>
      <c r="C48" s="632"/>
    </row>
    <row r="49" spans="2:24" ht="14.25" customHeight="1">
      <c r="B49" s="632" t="s">
        <v>719</v>
      </c>
      <c r="C49" s="632"/>
      <c r="E49" s="595">
        <v>107147</v>
      </c>
      <c r="G49" s="595">
        <v>59753</v>
      </c>
      <c r="I49" s="595">
        <v>60859</v>
      </c>
      <c r="Q49" s="633">
        <v>46288</v>
      </c>
      <c r="R49" s="633"/>
      <c r="T49" s="633">
        <v>46288</v>
      </c>
      <c r="U49" s="633"/>
      <c r="W49" s="633">
        <v>46288</v>
      </c>
      <c r="X49" s="633"/>
    </row>
    <row r="50" spans="2:24" ht="14.25" customHeight="1">
      <c r="B50" s="632"/>
      <c r="C50" s="632"/>
    </row>
    <row r="51" spans="2:24" ht="14.25" customHeight="1">
      <c r="B51" s="632" t="s">
        <v>720</v>
      </c>
      <c r="C51" s="632"/>
      <c r="E51" s="595">
        <v>20300</v>
      </c>
      <c r="G51" s="595">
        <v>9352</v>
      </c>
      <c r="I51" s="595">
        <v>9538</v>
      </c>
      <c r="Q51" s="633">
        <v>10762</v>
      </c>
      <c r="R51" s="633"/>
      <c r="T51" s="633">
        <v>10762</v>
      </c>
      <c r="U51" s="633"/>
      <c r="W51" s="633">
        <v>10762</v>
      </c>
      <c r="X51" s="633"/>
    </row>
    <row r="52" spans="2:24" ht="14.25" customHeight="1">
      <c r="B52" s="632"/>
      <c r="C52" s="632"/>
    </row>
    <row r="53" spans="2:24" ht="14.25" customHeight="1">
      <c r="B53" s="632" t="s">
        <v>721</v>
      </c>
      <c r="C53" s="632"/>
      <c r="E53" s="595">
        <v>15000</v>
      </c>
      <c r="G53" s="595">
        <v>8829</v>
      </c>
      <c r="I53" s="595">
        <v>9000</v>
      </c>
      <c r="Q53" s="633">
        <v>6000</v>
      </c>
      <c r="R53" s="633"/>
      <c r="T53" s="633">
        <v>6000</v>
      </c>
      <c r="U53" s="633"/>
      <c r="W53" s="633">
        <v>6000</v>
      </c>
      <c r="X53" s="633"/>
    </row>
    <row r="54" spans="2:24" ht="14.25" customHeight="1">
      <c r="B54" s="632"/>
      <c r="C54" s="632"/>
    </row>
    <row r="55" spans="2:24" ht="14.25" customHeight="1">
      <c r="B55" s="632" t="s">
        <v>722</v>
      </c>
      <c r="C55" s="632"/>
      <c r="E55" s="595">
        <v>9582</v>
      </c>
      <c r="G55" s="595">
        <v>9407</v>
      </c>
      <c r="I55" s="595">
        <v>9582</v>
      </c>
    </row>
    <row r="56" spans="2:24" ht="14.25" customHeight="1">
      <c r="B56" s="632"/>
      <c r="C56" s="632"/>
    </row>
    <row r="57" spans="2:24" ht="14.25" customHeight="1">
      <c r="B57" s="632" t="s">
        <v>723</v>
      </c>
      <c r="C57" s="632"/>
      <c r="E57" s="595">
        <v>68681</v>
      </c>
      <c r="G57" s="595">
        <v>41905</v>
      </c>
      <c r="I57" s="595">
        <v>42681</v>
      </c>
      <c r="Q57" s="633">
        <v>26000</v>
      </c>
      <c r="R57" s="633"/>
      <c r="T57" s="633">
        <v>26000</v>
      </c>
      <c r="U57" s="633"/>
      <c r="W57" s="633">
        <v>26000</v>
      </c>
      <c r="X57" s="633"/>
    </row>
    <row r="58" spans="2:24" ht="14.25" customHeight="1">
      <c r="B58" s="632"/>
      <c r="C58" s="632"/>
    </row>
    <row r="59" spans="2:24" ht="14.25" customHeight="1">
      <c r="B59" s="632" t="s">
        <v>724</v>
      </c>
      <c r="C59" s="632"/>
      <c r="E59" s="595">
        <v>6000</v>
      </c>
      <c r="Q59" s="633">
        <v>6000</v>
      </c>
      <c r="R59" s="633"/>
      <c r="T59" s="633">
        <v>6000</v>
      </c>
      <c r="U59" s="633"/>
      <c r="W59" s="633">
        <v>6000</v>
      </c>
      <c r="X59" s="633"/>
    </row>
    <row r="60" spans="2:24" ht="14.25" customHeight="1">
      <c r="B60" s="632"/>
      <c r="C60" s="632"/>
    </row>
    <row r="61" spans="2:24" ht="14.25" customHeight="1">
      <c r="B61" s="632" t="s">
        <v>725</v>
      </c>
      <c r="C61" s="632"/>
      <c r="E61" s="595">
        <v>26642</v>
      </c>
      <c r="G61" s="595">
        <v>26130</v>
      </c>
      <c r="I61" s="595">
        <v>26642</v>
      </c>
    </row>
    <row r="62" spans="2:24" ht="14.25" customHeight="1">
      <c r="B62" s="632"/>
      <c r="C62" s="632"/>
    </row>
    <row r="63" spans="2:24" ht="14.25" customHeight="1">
      <c r="B63" s="632" t="s">
        <v>726</v>
      </c>
      <c r="C63" s="632"/>
      <c r="E63" s="595">
        <v>58338</v>
      </c>
      <c r="G63" s="595">
        <v>42503</v>
      </c>
      <c r="I63" s="595">
        <v>43338</v>
      </c>
      <c r="Q63" s="633">
        <v>15000</v>
      </c>
      <c r="R63" s="633"/>
      <c r="T63" s="633">
        <v>15000</v>
      </c>
      <c r="U63" s="633"/>
      <c r="W63" s="633">
        <v>15000</v>
      </c>
      <c r="X63" s="633"/>
    </row>
    <row r="64" spans="2:24" ht="14.25" customHeight="1">
      <c r="B64" s="632"/>
      <c r="C64" s="632"/>
    </row>
    <row r="65" spans="2:24" ht="14.25" customHeight="1">
      <c r="B65" s="632" t="s">
        <v>727</v>
      </c>
      <c r="C65" s="632"/>
      <c r="E65" s="595">
        <v>392876</v>
      </c>
      <c r="G65" s="595">
        <v>260992</v>
      </c>
      <c r="I65" s="595">
        <v>326420</v>
      </c>
      <c r="Q65" s="633">
        <v>66456</v>
      </c>
      <c r="R65" s="633"/>
      <c r="T65" s="633">
        <v>66456</v>
      </c>
      <c r="U65" s="633"/>
      <c r="W65" s="633">
        <v>66456</v>
      </c>
      <c r="X65" s="633"/>
    </row>
    <row r="66" spans="2:24" ht="14.25" customHeight="1">
      <c r="B66" s="632"/>
      <c r="C66" s="632"/>
    </row>
    <row r="67" spans="2:24" ht="14.25" customHeight="1">
      <c r="B67" s="632" t="s">
        <v>728</v>
      </c>
      <c r="C67" s="632"/>
      <c r="E67" s="595">
        <v>44500</v>
      </c>
      <c r="G67" s="595">
        <v>44500</v>
      </c>
      <c r="I67" s="595">
        <v>44500</v>
      </c>
    </row>
    <row r="68" spans="2:24" ht="14.25" customHeight="1">
      <c r="B68" s="632"/>
      <c r="C68" s="632"/>
    </row>
    <row r="69" spans="2:24" ht="14.25" customHeight="1">
      <c r="B69" s="632" t="s">
        <v>729</v>
      </c>
      <c r="C69" s="632"/>
      <c r="E69" s="595">
        <v>4321952</v>
      </c>
      <c r="G69" s="595">
        <v>4136480</v>
      </c>
      <c r="I69" s="595">
        <v>4316902</v>
      </c>
      <c r="Q69" s="633">
        <v>5050</v>
      </c>
      <c r="R69" s="633"/>
      <c r="T69" s="633">
        <v>5050</v>
      </c>
      <c r="U69" s="633"/>
      <c r="W69" s="633">
        <v>5050</v>
      </c>
      <c r="X69" s="633"/>
    </row>
    <row r="70" spans="2:24" ht="14.25" customHeight="1">
      <c r="B70" s="632"/>
      <c r="C70" s="632"/>
    </row>
    <row r="71" spans="2:24" ht="14.25" customHeight="1">
      <c r="B71" s="632" t="s">
        <v>730</v>
      </c>
      <c r="C71" s="632"/>
      <c r="E71" s="595">
        <v>172106</v>
      </c>
      <c r="G71" s="595">
        <v>103019</v>
      </c>
      <c r="I71" s="595">
        <v>103019</v>
      </c>
      <c r="Q71" s="633">
        <v>69087</v>
      </c>
      <c r="R71" s="633"/>
      <c r="T71" s="633">
        <v>69087</v>
      </c>
      <c r="U71" s="633"/>
      <c r="W71" s="633">
        <v>69087</v>
      </c>
      <c r="X71" s="633"/>
    </row>
    <row r="72" spans="2:24" ht="14.25" customHeight="1">
      <c r="B72" s="632"/>
      <c r="C72" s="632"/>
    </row>
    <row r="73" spans="2:24" ht="14.25" customHeight="1">
      <c r="B73" s="632" t="s">
        <v>731</v>
      </c>
      <c r="C73" s="632"/>
      <c r="E73" s="595">
        <v>109232</v>
      </c>
      <c r="G73" s="595">
        <v>48625</v>
      </c>
      <c r="I73" s="595">
        <v>49378</v>
      </c>
      <c r="Q73" s="633">
        <v>59854</v>
      </c>
      <c r="R73" s="633"/>
      <c r="T73" s="633">
        <v>59854</v>
      </c>
      <c r="U73" s="633"/>
      <c r="W73" s="633">
        <v>59854</v>
      </c>
      <c r="X73" s="633"/>
    </row>
    <row r="74" spans="2:24" ht="14.25" customHeight="1">
      <c r="B74" s="632"/>
      <c r="C74" s="632"/>
    </row>
    <row r="75" spans="2:24" ht="14.25" customHeight="1">
      <c r="B75" s="632" t="s">
        <v>732</v>
      </c>
      <c r="C75" s="632"/>
      <c r="E75" s="595">
        <v>371479</v>
      </c>
      <c r="G75" s="595">
        <v>166387</v>
      </c>
      <c r="I75" s="595">
        <v>371479</v>
      </c>
    </row>
    <row r="76" spans="2:24" ht="14.25" customHeight="1">
      <c r="B76" s="632"/>
      <c r="C76" s="632"/>
    </row>
    <row r="77" spans="2:24" ht="14.25" customHeight="1">
      <c r="B77" s="632" t="s">
        <v>733</v>
      </c>
      <c r="C77" s="632"/>
      <c r="E77" s="595">
        <v>152227</v>
      </c>
      <c r="G77" s="595">
        <v>52944</v>
      </c>
      <c r="I77" s="595">
        <v>152227</v>
      </c>
    </row>
    <row r="78" spans="2:24" ht="14.25" customHeight="1">
      <c r="B78" s="632"/>
      <c r="C78" s="632"/>
    </row>
    <row r="79" spans="2:24" ht="14.25" customHeight="1">
      <c r="B79" s="632" t="s">
        <v>734</v>
      </c>
      <c r="C79" s="632"/>
      <c r="E79" s="595">
        <v>2544741</v>
      </c>
      <c r="G79" s="595">
        <v>2544741</v>
      </c>
      <c r="I79" s="595">
        <v>2544741</v>
      </c>
    </row>
    <row r="80" spans="2:24" ht="14.25" customHeight="1">
      <c r="B80" s="632"/>
      <c r="C80" s="632"/>
    </row>
    <row r="81" spans="2:25" ht="14.25" customHeight="1">
      <c r="B81" s="632" t="s">
        <v>735</v>
      </c>
      <c r="C81" s="632"/>
      <c r="E81" s="595">
        <v>405750</v>
      </c>
      <c r="G81" s="595">
        <v>405750</v>
      </c>
      <c r="I81" s="595">
        <v>405750</v>
      </c>
    </row>
    <row r="82" spans="2:25" ht="14.25" customHeight="1">
      <c r="B82" s="632"/>
      <c r="C82" s="632"/>
    </row>
    <row r="83" spans="2:25" ht="14.25" customHeight="1">
      <c r="B83" s="632"/>
      <c r="C83" s="632"/>
    </row>
    <row r="84" spans="2:25" ht="14.25" customHeight="1">
      <c r="B84" s="632" t="s">
        <v>736</v>
      </c>
      <c r="C84" s="632"/>
      <c r="E84" s="595">
        <v>2770</v>
      </c>
      <c r="Q84" s="633">
        <v>2770</v>
      </c>
      <c r="R84" s="633"/>
      <c r="T84" s="633">
        <v>2770</v>
      </c>
      <c r="U84" s="633"/>
      <c r="W84" s="633">
        <v>2770</v>
      </c>
      <c r="X84" s="633"/>
    </row>
    <row r="85" spans="2:25" ht="14.25" customHeight="1">
      <c r="B85" s="632"/>
      <c r="C85" s="632"/>
    </row>
    <row r="86" spans="2:25" ht="14.25" customHeight="1">
      <c r="B86" s="632" t="s">
        <v>737</v>
      </c>
      <c r="C86" s="632"/>
      <c r="E86" s="595">
        <v>22754</v>
      </c>
      <c r="G86" s="595">
        <v>5923</v>
      </c>
      <c r="I86" s="595">
        <v>5923</v>
      </c>
      <c r="Q86" s="633">
        <v>16831</v>
      </c>
      <c r="R86" s="633"/>
      <c r="T86" s="633">
        <v>16831</v>
      </c>
      <c r="U86" s="633"/>
      <c r="W86" s="633">
        <v>16831</v>
      </c>
      <c r="X86" s="633"/>
    </row>
    <row r="87" spans="2:25" ht="14.25" customHeight="1">
      <c r="B87" s="632"/>
      <c r="C87" s="632"/>
    </row>
    <row r="88" spans="2:25" ht="14.25" customHeight="1">
      <c r="B88" s="632" t="s">
        <v>738</v>
      </c>
      <c r="C88" s="632"/>
      <c r="E88" s="595">
        <v>5747</v>
      </c>
      <c r="G88" s="595">
        <v>847</v>
      </c>
      <c r="I88" s="595">
        <v>847</v>
      </c>
      <c r="Q88" s="633">
        <v>4900</v>
      </c>
      <c r="R88" s="633"/>
      <c r="T88" s="633">
        <v>4900</v>
      </c>
      <c r="U88" s="633"/>
      <c r="W88" s="633">
        <v>4900</v>
      </c>
      <c r="X88" s="633"/>
    </row>
    <row r="89" spans="2:25" ht="14.25" customHeight="1">
      <c r="B89" s="632"/>
      <c r="C89" s="632"/>
    </row>
    <row r="90" spans="2:25" s="600" customFormat="1" ht="14.25" customHeight="1">
      <c r="B90" s="640" t="s">
        <v>739</v>
      </c>
      <c r="C90" s="640"/>
      <c r="E90" s="601">
        <v>98</v>
      </c>
      <c r="Q90" s="641">
        <v>98</v>
      </c>
      <c r="R90" s="641"/>
      <c r="T90" s="641">
        <v>98</v>
      </c>
      <c r="U90" s="641"/>
      <c r="W90" s="641">
        <v>98</v>
      </c>
      <c r="X90" s="641"/>
      <c r="Y90" s="608"/>
    </row>
    <row r="91" spans="2:25" s="600" customFormat="1" ht="14.25" customHeight="1">
      <c r="B91" s="640"/>
      <c r="C91" s="640"/>
      <c r="Y91" s="611">
        <f>SUM(Q90:R91)</f>
        <v>98</v>
      </c>
    </row>
    <row r="92" spans="2:25" ht="14.25" customHeight="1">
      <c r="B92" s="632" t="s">
        <v>740</v>
      </c>
      <c r="C92" s="632"/>
      <c r="E92" s="595">
        <v>18136</v>
      </c>
      <c r="G92" s="595">
        <v>1000</v>
      </c>
      <c r="I92" s="595">
        <v>1000</v>
      </c>
      <c r="Q92" s="633">
        <v>17136</v>
      </c>
      <c r="R92" s="633"/>
      <c r="T92" s="633">
        <v>17136</v>
      </c>
      <c r="U92" s="633"/>
      <c r="W92" s="633">
        <v>17136</v>
      </c>
      <c r="X92" s="633"/>
    </row>
    <row r="93" spans="2:25" ht="14.25" customHeight="1">
      <c r="B93" s="632"/>
      <c r="C93" s="632"/>
    </row>
    <row r="94" spans="2:25" ht="14.25" customHeight="1">
      <c r="B94" s="632"/>
      <c r="C94" s="632"/>
    </row>
    <row r="95" spans="2:25" s="602" customFormat="1" ht="14.25" customHeight="1">
      <c r="B95" s="636" t="s">
        <v>741</v>
      </c>
      <c r="C95" s="636"/>
      <c r="E95" s="603">
        <v>2302713</v>
      </c>
      <c r="G95" s="603">
        <v>1106068</v>
      </c>
      <c r="I95" s="603">
        <v>1106068</v>
      </c>
      <c r="Q95" s="637">
        <v>1196645</v>
      </c>
      <c r="R95" s="637"/>
      <c r="T95" s="637">
        <v>1196645</v>
      </c>
      <c r="U95" s="637"/>
      <c r="W95" s="637">
        <v>1196645</v>
      </c>
      <c r="X95" s="637"/>
      <c r="Y95" s="609"/>
    </row>
    <row r="96" spans="2:25" s="602" customFormat="1" ht="14.25" customHeight="1">
      <c r="B96" s="636"/>
      <c r="C96" s="636"/>
      <c r="Y96" s="612">
        <f>SUM(Q95:R96)</f>
        <v>1196645</v>
      </c>
    </row>
    <row r="97" spans="2:25" s="604" customFormat="1" ht="14.25" customHeight="1">
      <c r="B97" s="638" t="s">
        <v>742</v>
      </c>
      <c r="C97" s="638"/>
      <c r="E97" s="605">
        <v>608691</v>
      </c>
      <c r="G97" s="605">
        <v>31895</v>
      </c>
      <c r="I97" s="605">
        <v>31895</v>
      </c>
      <c r="Q97" s="639">
        <v>576796</v>
      </c>
      <c r="R97" s="639"/>
      <c r="T97" s="639">
        <v>576796</v>
      </c>
      <c r="U97" s="639"/>
      <c r="W97" s="639">
        <v>576796</v>
      </c>
      <c r="X97" s="639"/>
      <c r="Y97" s="610"/>
    </row>
    <row r="98" spans="2:25" s="604" customFormat="1" ht="14.25" customHeight="1">
      <c r="B98" s="638"/>
      <c r="C98" s="638"/>
      <c r="Y98" s="610"/>
    </row>
    <row r="99" spans="2:25" s="604" customFormat="1" ht="14.25" customHeight="1">
      <c r="B99" s="638" t="s">
        <v>743</v>
      </c>
      <c r="C99" s="638"/>
      <c r="E99" s="605">
        <v>800000</v>
      </c>
      <c r="Q99" s="639">
        <v>800000</v>
      </c>
      <c r="R99" s="639"/>
      <c r="T99" s="639">
        <v>800000</v>
      </c>
      <c r="U99" s="639"/>
      <c r="W99" s="639">
        <v>800000</v>
      </c>
      <c r="X99" s="639"/>
      <c r="Y99" s="610"/>
    </row>
    <row r="100" spans="2:25" s="604" customFormat="1" ht="14.25" customHeight="1">
      <c r="B100" s="638"/>
      <c r="C100" s="638"/>
      <c r="Y100" s="610"/>
    </row>
    <row r="101" spans="2:25" s="604" customFormat="1" ht="14.25" customHeight="1">
      <c r="B101" s="638" t="s">
        <v>744</v>
      </c>
      <c r="C101" s="638"/>
      <c r="E101" s="605">
        <v>60000</v>
      </c>
      <c r="G101" s="605">
        <v>60000</v>
      </c>
      <c r="I101" s="605">
        <v>60000</v>
      </c>
      <c r="Y101" s="610"/>
    </row>
    <row r="102" spans="2:25" s="604" customFormat="1" ht="14.25" customHeight="1">
      <c r="B102" s="638"/>
      <c r="C102" s="638"/>
      <c r="Y102" s="610"/>
    </row>
    <row r="103" spans="2:25" s="604" customFormat="1" ht="14.25" customHeight="1">
      <c r="B103" s="638" t="s">
        <v>745</v>
      </c>
      <c r="C103" s="638"/>
      <c r="E103" s="605">
        <v>147639</v>
      </c>
      <c r="G103" s="605">
        <v>20000</v>
      </c>
      <c r="I103" s="605">
        <v>20000</v>
      </c>
      <c r="Q103" s="639">
        <v>127639</v>
      </c>
      <c r="R103" s="639"/>
      <c r="T103" s="639">
        <v>127639</v>
      </c>
      <c r="U103" s="639"/>
      <c r="W103" s="639">
        <v>127639</v>
      </c>
      <c r="X103" s="639"/>
      <c r="Y103" s="610"/>
    </row>
    <row r="104" spans="2:25" s="604" customFormat="1" ht="14.25" customHeight="1">
      <c r="B104" s="638"/>
      <c r="C104" s="638"/>
      <c r="Y104" s="610"/>
    </row>
    <row r="105" spans="2:25" s="604" customFormat="1" ht="14.25" customHeight="1">
      <c r="B105" s="638" t="s">
        <v>746</v>
      </c>
      <c r="C105" s="638"/>
      <c r="E105" s="605">
        <v>300000</v>
      </c>
      <c r="Q105" s="639">
        <v>300000</v>
      </c>
      <c r="R105" s="639"/>
      <c r="T105" s="639">
        <v>300000</v>
      </c>
      <c r="U105" s="639"/>
      <c r="W105" s="639">
        <v>300000</v>
      </c>
      <c r="X105" s="639"/>
      <c r="Y105" s="610"/>
    </row>
    <row r="106" spans="2:25" s="604" customFormat="1" ht="14.25" customHeight="1">
      <c r="B106" s="638"/>
      <c r="C106" s="638"/>
      <c r="Y106" s="610"/>
    </row>
    <row r="107" spans="2:25" s="604" customFormat="1" ht="14.25" customHeight="1">
      <c r="B107" s="638"/>
      <c r="C107" s="638"/>
      <c r="Y107" s="610"/>
    </row>
    <row r="108" spans="2:25" s="604" customFormat="1" ht="14.25" customHeight="1">
      <c r="B108" s="638" t="s">
        <v>747</v>
      </c>
      <c r="C108" s="638"/>
      <c r="E108" s="605">
        <v>91209</v>
      </c>
      <c r="G108" s="605">
        <v>20000</v>
      </c>
      <c r="I108" s="605">
        <v>20000</v>
      </c>
      <c r="Q108" s="639">
        <v>71209</v>
      </c>
      <c r="R108" s="639"/>
      <c r="T108" s="639">
        <v>71209</v>
      </c>
      <c r="U108" s="639"/>
      <c r="W108" s="639">
        <v>71209</v>
      </c>
      <c r="X108" s="639"/>
      <c r="Y108" s="610"/>
    </row>
    <row r="109" spans="2:25" s="604" customFormat="1" ht="14.25" customHeight="1">
      <c r="B109" s="638"/>
      <c r="C109" s="638"/>
      <c r="Y109" s="610"/>
    </row>
    <row r="110" spans="2:25" s="604" customFormat="1" ht="14.25" customHeight="1">
      <c r="B110" s="638" t="s">
        <v>748</v>
      </c>
      <c r="C110" s="638"/>
      <c r="E110" s="605">
        <v>800000</v>
      </c>
      <c r="Q110" s="639">
        <v>800000</v>
      </c>
      <c r="R110" s="639"/>
      <c r="T110" s="639">
        <v>800000</v>
      </c>
      <c r="U110" s="639"/>
      <c r="W110" s="639">
        <v>800000</v>
      </c>
      <c r="X110" s="639"/>
      <c r="Y110" s="610"/>
    </row>
    <row r="111" spans="2:25" s="604" customFormat="1" ht="14.25" customHeight="1">
      <c r="B111" s="638"/>
      <c r="C111" s="638"/>
      <c r="Y111" s="610"/>
    </row>
    <row r="112" spans="2:25" s="604" customFormat="1" ht="14.25" customHeight="1">
      <c r="B112" s="638"/>
      <c r="C112" s="638"/>
      <c r="Y112" s="610"/>
    </row>
    <row r="113" spans="2:26" s="604" customFormat="1" ht="14.25" customHeight="1">
      <c r="B113" s="638" t="s">
        <v>749</v>
      </c>
      <c r="C113" s="638"/>
      <c r="E113" s="605">
        <v>26000</v>
      </c>
      <c r="G113" s="605">
        <v>23000</v>
      </c>
      <c r="I113" s="605">
        <v>23000</v>
      </c>
      <c r="Q113" s="639">
        <v>3000</v>
      </c>
      <c r="R113" s="639"/>
      <c r="T113" s="639">
        <v>3000</v>
      </c>
      <c r="U113" s="639"/>
      <c r="W113" s="639">
        <v>3000</v>
      </c>
      <c r="X113" s="639"/>
      <c r="Y113" s="610"/>
    </row>
    <row r="114" spans="2:26" s="604" customFormat="1" ht="14.25" customHeight="1">
      <c r="B114" s="638"/>
      <c r="C114" s="638"/>
      <c r="Y114" s="610"/>
    </row>
    <row r="115" spans="2:26" s="604" customFormat="1" ht="14.25" customHeight="1">
      <c r="B115" s="638"/>
      <c r="C115" s="638"/>
      <c r="Y115" s="610"/>
    </row>
    <row r="116" spans="2:26" s="604" customFormat="1" ht="14.25" customHeight="1">
      <c r="B116" s="638" t="s">
        <v>750</v>
      </c>
      <c r="C116" s="638"/>
      <c r="E116" s="605">
        <v>102034</v>
      </c>
      <c r="G116" s="605">
        <v>1900</v>
      </c>
      <c r="I116" s="605">
        <v>1900</v>
      </c>
      <c r="Q116" s="639">
        <v>100134</v>
      </c>
      <c r="R116" s="639"/>
      <c r="T116" s="639">
        <v>100134</v>
      </c>
      <c r="U116" s="639"/>
      <c r="W116" s="639">
        <v>100134</v>
      </c>
      <c r="X116" s="639"/>
      <c r="Y116" s="610"/>
    </row>
    <row r="117" spans="2:26" s="604" customFormat="1" ht="14.25" customHeight="1">
      <c r="B117" s="638"/>
      <c r="C117" s="638"/>
      <c r="Y117" s="610"/>
    </row>
    <row r="118" spans="2:26" s="604" customFormat="1" ht="14.25" customHeight="1">
      <c r="B118" s="638" t="s">
        <v>751</v>
      </c>
      <c r="C118" s="638"/>
      <c r="E118" s="605">
        <v>18800</v>
      </c>
      <c r="Q118" s="639">
        <v>18800</v>
      </c>
      <c r="R118" s="639"/>
      <c r="T118" s="639">
        <v>18800</v>
      </c>
      <c r="U118" s="639"/>
      <c r="W118" s="639">
        <v>18800</v>
      </c>
      <c r="X118" s="639"/>
      <c r="Y118" s="610"/>
    </row>
    <row r="119" spans="2:26" s="604" customFormat="1" ht="14.25" customHeight="1">
      <c r="B119" s="638"/>
      <c r="C119" s="638"/>
      <c r="Y119" s="613">
        <f>SUM(Q97:R119)-Z119</f>
        <v>897578</v>
      </c>
      <c r="Z119" s="614">
        <f>Q99+Q105+Q110</f>
        <v>1900000</v>
      </c>
    </row>
    <row r="120" spans="2:26" s="600" customFormat="1" ht="14.25" customHeight="1">
      <c r="B120" s="640" t="s">
        <v>752</v>
      </c>
      <c r="C120" s="640"/>
      <c r="E120" s="601">
        <v>348858</v>
      </c>
      <c r="G120" s="601">
        <v>348858</v>
      </c>
      <c r="I120" s="601">
        <v>348858</v>
      </c>
      <c r="Y120" s="608"/>
    </row>
    <row r="121" spans="2:26" s="600" customFormat="1" ht="14.25" customHeight="1">
      <c r="B121" s="640"/>
      <c r="C121" s="640"/>
      <c r="Y121" s="608"/>
    </row>
    <row r="122" spans="2:26" ht="14.25" customHeight="1">
      <c r="B122" s="632" t="s">
        <v>753</v>
      </c>
      <c r="C122" s="632"/>
      <c r="E122" s="595">
        <v>290420</v>
      </c>
      <c r="G122" s="595">
        <v>74453</v>
      </c>
      <c r="I122" s="595">
        <v>74453</v>
      </c>
      <c r="Q122" s="633">
        <v>215967</v>
      </c>
      <c r="R122" s="633"/>
      <c r="T122" s="633">
        <v>215967</v>
      </c>
      <c r="U122" s="633"/>
      <c r="W122" s="633">
        <v>215967</v>
      </c>
      <c r="X122" s="633"/>
    </row>
    <row r="123" spans="2:26" ht="14.25" customHeight="1">
      <c r="B123" s="632"/>
      <c r="C123" s="632"/>
    </row>
    <row r="124" spans="2:26" ht="14.25" customHeight="1">
      <c r="B124" s="632"/>
      <c r="C124" s="632"/>
    </row>
    <row r="125" spans="2:26" ht="14.25" customHeight="1">
      <c r="B125" s="632" t="s">
        <v>754</v>
      </c>
      <c r="C125" s="632"/>
      <c r="E125" s="595">
        <v>532255</v>
      </c>
      <c r="G125" s="595">
        <v>28000</v>
      </c>
      <c r="I125" s="595">
        <v>300138</v>
      </c>
      <c r="Q125" s="633">
        <v>232117</v>
      </c>
      <c r="R125" s="633"/>
      <c r="T125" s="633">
        <v>232117</v>
      </c>
      <c r="U125" s="633"/>
      <c r="W125" s="633">
        <v>232117</v>
      </c>
      <c r="X125" s="633"/>
    </row>
    <row r="126" spans="2:26" ht="14.25" customHeight="1">
      <c r="B126" s="632"/>
      <c r="C126" s="632"/>
    </row>
    <row r="127" spans="2:26" ht="14.25" customHeight="1">
      <c r="B127" s="632"/>
      <c r="C127" s="632"/>
    </row>
    <row r="128" spans="2:26" ht="14.25" customHeight="1">
      <c r="B128" s="632" t="s">
        <v>755</v>
      </c>
      <c r="C128" s="632"/>
      <c r="E128" s="595">
        <v>587</v>
      </c>
      <c r="Q128" s="633">
        <v>587</v>
      </c>
      <c r="R128" s="633"/>
      <c r="T128" s="633">
        <v>587</v>
      </c>
      <c r="U128" s="633"/>
      <c r="W128" s="633">
        <v>587</v>
      </c>
      <c r="X128" s="633"/>
    </row>
    <row r="129" spans="2:24" ht="14.25" customHeight="1">
      <c r="B129" s="632"/>
      <c r="C129" s="632"/>
    </row>
    <row r="130" spans="2:24" ht="14.25" customHeight="1">
      <c r="B130" s="632"/>
      <c r="C130" s="632"/>
    </row>
    <row r="131" spans="2:24" ht="14.25" customHeight="1">
      <c r="B131" s="632" t="s">
        <v>756</v>
      </c>
      <c r="C131" s="632"/>
      <c r="E131" s="595">
        <v>20898</v>
      </c>
      <c r="Q131" s="633">
        <v>20898</v>
      </c>
      <c r="R131" s="633"/>
      <c r="T131" s="633">
        <v>20898</v>
      </c>
      <c r="U131" s="633"/>
      <c r="W131" s="633">
        <v>20898</v>
      </c>
      <c r="X131" s="633"/>
    </row>
    <row r="132" spans="2:24" ht="14.25" customHeight="1">
      <c r="B132" s="632"/>
      <c r="C132" s="632"/>
    </row>
    <row r="133" spans="2:24" ht="14.25" customHeight="1">
      <c r="B133" s="632"/>
      <c r="C133" s="632"/>
    </row>
    <row r="134" spans="2:24" ht="14.25" customHeight="1">
      <c r="B134" s="632" t="s">
        <v>757</v>
      </c>
      <c r="C134" s="632"/>
      <c r="E134" s="595">
        <v>20000</v>
      </c>
      <c r="G134" s="595">
        <v>20000</v>
      </c>
      <c r="I134" s="595">
        <v>20000</v>
      </c>
    </row>
    <row r="135" spans="2:24" ht="14.25" customHeight="1">
      <c r="B135" s="632"/>
      <c r="C135" s="632"/>
    </row>
    <row r="136" spans="2:24" ht="14.25" customHeight="1">
      <c r="B136" s="632" t="s">
        <v>758</v>
      </c>
      <c r="C136" s="632"/>
      <c r="E136" s="595">
        <v>1800000</v>
      </c>
      <c r="G136" s="595">
        <v>1800000</v>
      </c>
      <c r="I136" s="595">
        <v>1800000</v>
      </c>
    </row>
    <row r="137" spans="2:24" ht="14.25" customHeight="1">
      <c r="B137" s="632"/>
      <c r="C137" s="632"/>
    </row>
    <row r="138" spans="2:24" ht="14.25" customHeight="1">
      <c r="B138" s="632"/>
      <c r="C138" s="632"/>
    </row>
    <row r="139" spans="2:24" ht="14.25" customHeight="1">
      <c r="B139" s="632" t="s">
        <v>759</v>
      </c>
      <c r="C139" s="632"/>
      <c r="E139" s="595">
        <v>10000</v>
      </c>
      <c r="G139" s="595">
        <v>10000</v>
      </c>
      <c r="I139" s="595">
        <v>10000</v>
      </c>
    </row>
    <row r="140" spans="2:24" ht="14.25" customHeight="1">
      <c r="B140" s="632"/>
      <c r="C140" s="632"/>
    </row>
    <row r="141" spans="2:24" ht="14.25" customHeight="1">
      <c r="B141" s="632"/>
      <c r="C141" s="632"/>
    </row>
    <row r="142" spans="2:24" ht="14.25" customHeight="1">
      <c r="B142" s="632" t="s">
        <v>760</v>
      </c>
      <c r="C142" s="632"/>
      <c r="E142" s="595">
        <v>10000</v>
      </c>
      <c r="G142" s="595">
        <v>10000</v>
      </c>
      <c r="I142" s="595">
        <v>10000</v>
      </c>
    </row>
    <row r="143" spans="2:24" ht="14.25" customHeight="1">
      <c r="B143" s="632"/>
      <c r="C143" s="632"/>
    </row>
    <row r="144" spans="2:24" ht="14.25" customHeight="1">
      <c r="B144" s="632"/>
      <c r="C144" s="632"/>
    </row>
    <row r="145" spans="2:24" ht="14.25" customHeight="1">
      <c r="B145" s="632" t="s">
        <v>761</v>
      </c>
      <c r="C145" s="632"/>
      <c r="E145" s="595">
        <v>10000</v>
      </c>
      <c r="G145" s="595">
        <v>10000</v>
      </c>
      <c r="I145" s="595">
        <v>10000</v>
      </c>
    </row>
    <row r="146" spans="2:24" ht="14.25" customHeight="1">
      <c r="B146" s="632"/>
      <c r="C146" s="632"/>
    </row>
    <row r="147" spans="2:24" ht="14.25" customHeight="1">
      <c r="B147" s="632"/>
      <c r="C147" s="632"/>
    </row>
    <row r="148" spans="2:24" ht="14.25" customHeight="1">
      <c r="B148" s="632" t="s">
        <v>762</v>
      </c>
      <c r="C148" s="632"/>
      <c r="E148" s="595">
        <v>20000</v>
      </c>
      <c r="G148" s="595">
        <v>20000</v>
      </c>
      <c r="I148" s="595">
        <v>20000</v>
      </c>
    </row>
    <row r="149" spans="2:24" ht="14.25" customHeight="1">
      <c r="B149" s="632"/>
      <c r="C149" s="632"/>
    </row>
    <row r="150" spans="2:24" ht="14.25" customHeight="1">
      <c r="B150" s="632"/>
      <c r="C150" s="632"/>
    </row>
    <row r="151" spans="2:24" ht="14.25" customHeight="1">
      <c r="B151" s="632" t="s">
        <v>763</v>
      </c>
      <c r="C151" s="632"/>
      <c r="E151" s="595">
        <v>20000</v>
      </c>
      <c r="Q151" s="633">
        <v>20000</v>
      </c>
      <c r="R151" s="633"/>
      <c r="T151" s="633">
        <v>20000</v>
      </c>
      <c r="U151" s="633"/>
      <c r="W151" s="633">
        <v>20000</v>
      </c>
      <c r="X151" s="633"/>
    </row>
    <row r="152" spans="2:24" ht="14.25" customHeight="1">
      <c r="B152" s="632"/>
      <c r="C152" s="632"/>
    </row>
    <row r="153" spans="2:24" ht="14.25" customHeight="1">
      <c r="B153" s="632"/>
      <c r="C153" s="632"/>
    </row>
    <row r="154" spans="2:24" ht="14.25" customHeight="1">
      <c r="B154" s="632" t="s">
        <v>764</v>
      </c>
      <c r="C154" s="632"/>
      <c r="E154" s="595">
        <v>20000</v>
      </c>
      <c r="G154" s="595">
        <v>20000</v>
      </c>
      <c r="I154" s="595">
        <v>20000</v>
      </c>
    </row>
    <row r="155" spans="2:24" ht="14.25" customHeight="1">
      <c r="B155" s="632"/>
      <c r="C155" s="632"/>
    </row>
    <row r="156" spans="2:24" ht="14.25" customHeight="1">
      <c r="B156" s="632"/>
      <c r="C156" s="632"/>
    </row>
    <row r="157" spans="2:24" ht="14.25" customHeight="1">
      <c r="B157" s="632" t="s">
        <v>765</v>
      </c>
      <c r="C157" s="632"/>
      <c r="E157" s="595">
        <v>7000</v>
      </c>
      <c r="I157" s="595">
        <v>7000</v>
      </c>
    </row>
    <row r="158" spans="2:24" ht="14.25" customHeight="1">
      <c r="B158" s="632"/>
      <c r="C158" s="632"/>
    </row>
    <row r="159" spans="2:24" ht="14.25" customHeight="1">
      <c r="B159" s="632"/>
      <c r="C159" s="632"/>
    </row>
    <row r="160" spans="2:24" ht="14.25" customHeight="1">
      <c r="B160" s="632" t="s">
        <v>766</v>
      </c>
      <c r="C160" s="632"/>
      <c r="E160" s="595">
        <v>20000</v>
      </c>
      <c r="Q160" s="633">
        <v>20000</v>
      </c>
      <c r="R160" s="633"/>
      <c r="T160" s="633">
        <v>20000</v>
      </c>
      <c r="U160" s="633"/>
      <c r="W160" s="633">
        <v>20000</v>
      </c>
      <c r="X160" s="633"/>
    </row>
    <row r="161" spans="2:24" ht="14.25" customHeight="1">
      <c r="B161" s="632"/>
      <c r="C161" s="632"/>
    </row>
    <row r="162" spans="2:24" ht="14.25" customHeight="1">
      <c r="B162" s="632"/>
      <c r="C162" s="632"/>
    </row>
    <row r="163" spans="2:24" ht="14.25" customHeight="1">
      <c r="B163" s="632" t="s">
        <v>767</v>
      </c>
      <c r="C163" s="632"/>
      <c r="E163" s="595">
        <v>200000</v>
      </c>
      <c r="Q163" s="633">
        <v>200000</v>
      </c>
      <c r="R163" s="633"/>
      <c r="T163" s="633">
        <v>200000</v>
      </c>
      <c r="U163" s="633"/>
      <c r="W163" s="633">
        <v>200000</v>
      </c>
      <c r="X163" s="633"/>
    </row>
    <row r="164" spans="2:24" ht="14.25" customHeight="1">
      <c r="B164" s="632"/>
      <c r="C164" s="632"/>
    </row>
    <row r="165" spans="2:24" ht="14.25" customHeight="1">
      <c r="B165" s="632"/>
      <c r="C165" s="632"/>
    </row>
    <row r="166" spans="2:24" ht="14.25" customHeight="1">
      <c r="B166" s="632" t="s">
        <v>768</v>
      </c>
      <c r="C166" s="632"/>
      <c r="E166" s="595">
        <v>1242</v>
      </c>
      <c r="Q166" s="633">
        <v>1242</v>
      </c>
      <c r="R166" s="633"/>
      <c r="T166" s="633">
        <v>1242</v>
      </c>
      <c r="U166" s="633"/>
      <c r="W166" s="633">
        <v>1242</v>
      </c>
      <c r="X166" s="633"/>
    </row>
    <row r="167" spans="2:24" ht="14.25" customHeight="1">
      <c r="B167" s="632"/>
      <c r="C167" s="632"/>
    </row>
    <row r="168" spans="2:24" ht="14.25" customHeight="1">
      <c r="B168" s="632"/>
      <c r="C168" s="632"/>
    </row>
    <row r="169" spans="2:24" ht="14.25" customHeight="1">
      <c r="B169" s="632" t="s">
        <v>769</v>
      </c>
      <c r="C169" s="632"/>
      <c r="E169" s="595">
        <v>15840</v>
      </c>
      <c r="Q169" s="633">
        <v>15840</v>
      </c>
      <c r="R169" s="633"/>
      <c r="T169" s="633">
        <v>15840</v>
      </c>
      <c r="U169" s="633"/>
      <c r="W169" s="633">
        <v>15840</v>
      </c>
      <c r="X169" s="633"/>
    </row>
    <row r="170" spans="2:24" ht="14.25" customHeight="1">
      <c r="B170" s="632"/>
      <c r="C170" s="632"/>
    </row>
    <row r="171" spans="2:24" ht="14.25" customHeight="1">
      <c r="B171" s="632"/>
      <c r="C171" s="632"/>
    </row>
    <row r="172" spans="2:24" ht="14.25" customHeight="1">
      <c r="B172" s="632" t="s">
        <v>770</v>
      </c>
      <c r="C172" s="632"/>
      <c r="E172" s="595">
        <v>77052</v>
      </c>
      <c r="G172" s="595">
        <v>59242</v>
      </c>
      <c r="I172" s="595">
        <v>59242</v>
      </c>
      <c r="Q172" s="633">
        <v>17810</v>
      </c>
      <c r="R172" s="633"/>
      <c r="T172" s="633">
        <v>17810</v>
      </c>
      <c r="U172" s="633"/>
      <c r="W172" s="633">
        <v>17810</v>
      </c>
      <c r="X172" s="633"/>
    </row>
    <row r="173" spans="2:24" ht="14.25" customHeight="1">
      <c r="B173" s="632"/>
      <c r="C173" s="632"/>
    </row>
    <row r="174" spans="2:24" ht="14.25" customHeight="1">
      <c r="B174" s="632"/>
      <c r="C174" s="632"/>
    </row>
    <row r="175" spans="2:24" ht="14.25" customHeight="1">
      <c r="B175" s="632" t="s">
        <v>771</v>
      </c>
      <c r="C175" s="632"/>
      <c r="E175" s="595">
        <v>7940</v>
      </c>
      <c r="Q175" s="633">
        <v>7940</v>
      </c>
      <c r="R175" s="633"/>
      <c r="T175" s="633">
        <v>7940</v>
      </c>
      <c r="U175" s="633"/>
      <c r="W175" s="633">
        <v>7940</v>
      </c>
      <c r="X175" s="633"/>
    </row>
    <row r="176" spans="2:24" ht="14.25" customHeight="1">
      <c r="B176" s="632"/>
      <c r="C176" s="632"/>
    </row>
    <row r="177" spans="2:24" ht="14.25" customHeight="1">
      <c r="B177" s="632"/>
      <c r="C177" s="632"/>
    </row>
    <row r="178" spans="2:24" ht="14.25" customHeight="1">
      <c r="B178" s="632" t="s">
        <v>772</v>
      </c>
      <c r="C178" s="632"/>
      <c r="E178" s="595">
        <v>78598</v>
      </c>
      <c r="Q178" s="633">
        <v>78598</v>
      </c>
      <c r="R178" s="633"/>
      <c r="T178" s="633">
        <v>78598</v>
      </c>
      <c r="U178" s="633"/>
      <c r="W178" s="633">
        <v>78598</v>
      </c>
      <c r="X178" s="633"/>
    </row>
    <row r="179" spans="2:24" ht="14.25" customHeight="1">
      <c r="B179" s="632"/>
      <c r="C179" s="632"/>
    </row>
    <row r="180" spans="2:24" ht="14.25" customHeight="1">
      <c r="B180" s="632"/>
      <c r="C180" s="632"/>
    </row>
    <row r="181" spans="2:24" ht="14.25" customHeight="1">
      <c r="B181" s="632" t="s">
        <v>773</v>
      </c>
      <c r="C181" s="632"/>
      <c r="E181" s="595">
        <v>1789232</v>
      </c>
      <c r="Q181" s="633">
        <v>1789232</v>
      </c>
      <c r="R181" s="633"/>
      <c r="T181" s="633">
        <v>1789232</v>
      </c>
      <c r="U181" s="633"/>
      <c r="W181" s="633">
        <v>1789232</v>
      </c>
      <c r="X181" s="633"/>
    </row>
    <row r="182" spans="2:24" ht="14.25" customHeight="1">
      <c r="B182" s="632"/>
      <c r="C182" s="632"/>
    </row>
    <row r="183" spans="2:24" ht="14.25" customHeight="1">
      <c r="B183" s="632"/>
      <c r="C183" s="632"/>
    </row>
    <row r="184" spans="2:24" ht="14.25" customHeight="1">
      <c r="B184" s="632" t="s">
        <v>774</v>
      </c>
      <c r="C184" s="632"/>
      <c r="E184" s="595">
        <v>18300</v>
      </c>
      <c r="Q184" s="633">
        <v>18300</v>
      </c>
      <c r="R184" s="633"/>
      <c r="T184" s="633">
        <v>18300</v>
      </c>
      <c r="U184" s="633"/>
      <c r="W184" s="633">
        <v>18300</v>
      </c>
      <c r="X184" s="633"/>
    </row>
    <row r="185" spans="2:24" ht="14.25" customHeight="1">
      <c r="B185" s="632"/>
      <c r="C185" s="632"/>
    </row>
    <row r="186" spans="2:24" ht="14.25" customHeight="1">
      <c r="B186" s="632"/>
      <c r="C186" s="632"/>
    </row>
    <row r="187" spans="2:24" ht="14.25" customHeight="1">
      <c r="B187" s="632" t="s">
        <v>775</v>
      </c>
      <c r="C187" s="632"/>
      <c r="E187" s="595">
        <v>7000</v>
      </c>
      <c r="Q187" s="633">
        <v>7000</v>
      </c>
      <c r="R187" s="633"/>
      <c r="T187" s="633">
        <v>7000</v>
      </c>
      <c r="U187" s="633"/>
      <c r="W187" s="633">
        <v>7000</v>
      </c>
      <c r="X187" s="633"/>
    </row>
    <row r="188" spans="2:24" ht="14.25" customHeight="1">
      <c r="B188" s="632"/>
      <c r="C188" s="632"/>
    </row>
    <row r="189" spans="2:24" ht="14.25" customHeight="1">
      <c r="B189" s="632"/>
      <c r="C189" s="632"/>
    </row>
    <row r="190" spans="2:24" ht="14.25" customHeight="1">
      <c r="B190" s="632" t="s">
        <v>776</v>
      </c>
      <c r="C190" s="632"/>
      <c r="E190" s="595">
        <v>17850</v>
      </c>
      <c r="Q190" s="633">
        <v>17850</v>
      </c>
      <c r="R190" s="633"/>
      <c r="T190" s="633">
        <v>17850</v>
      </c>
      <c r="U190" s="633"/>
      <c r="W190" s="633">
        <v>17850</v>
      </c>
      <c r="X190" s="633"/>
    </row>
    <row r="191" spans="2:24" ht="14.25" customHeight="1">
      <c r="B191" s="632"/>
      <c r="C191" s="632"/>
    </row>
    <row r="192" spans="2:24" ht="14.25" customHeight="1">
      <c r="B192" s="632"/>
      <c r="C192" s="632"/>
    </row>
    <row r="193" spans="2:24" ht="14.25" customHeight="1">
      <c r="B193" s="632" t="s">
        <v>777</v>
      </c>
      <c r="C193" s="632"/>
      <c r="E193" s="595">
        <v>15990</v>
      </c>
      <c r="Q193" s="633">
        <v>15990</v>
      </c>
      <c r="R193" s="633"/>
      <c r="T193" s="633">
        <v>15990</v>
      </c>
      <c r="U193" s="633"/>
      <c r="W193" s="633">
        <v>15990</v>
      </c>
      <c r="X193" s="633"/>
    </row>
    <row r="194" spans="2:24" ht="14.25" customHeight="1">
      <c r="B194" s="632"/>
      <c r="C194" s="632"/>
    </row>
    <row r="195" spans="2:24" ht="14.25" customHeight="1">
      <c r="B195" s="632"/>
      <c r="C195" s="632"/>
    </row>
    <row r="196" spans="2:24" ht="14.25" customHeight="1">
      <c r="B196" s="632" t="s">
        <v>778</v>
      </c>
      <c r="C196" s="632"/>
      <c r="E196" s="595">
        <v>23730</v>
      </c>
      <c r="Q196" s="633">
        <v>23730</v>
      </c>
      <c r="R196" s="633"/>
      <c r="T196" s="633">
        <v>23730</v>
      </c>
      <c r="U196" s="633"/>
      <c r="W196" s="633">
        <v>23730</v>
      </c>
      <c r="X196" s="633"/>
    </row>
    <row r="197" spans="2:24" ht="14.25" customHeight="1">
      <c r="B197" s="632"/>
      <c r="C197" s="632"/>
    </row>
    <row r="198" spans="2:24" ht="14.25" customHeight="1">
      <c r="B198" s="632"/>
      <c r="C198" s="632"/>
    </row>
    <row r="199" spans="2:24" ht="12" customHeight="1">
      <c r="B199" s="596" t="s">
        <v>779</v>
      </c>
      <c r="E199" s="597">
        <v>26465544</v>
      </c>
      <c r="G199" s="597">
        <v>18308157</v>
      </c>
      <c r="I199" s="597">
        <v>19148683</v>
      </c>
      <c r="Q199" s="642">
        <v>7316861</v>
      </c>
      <c r="R199" s="642"/>
      <c r="T199" s="642">
        <v>7316861</v>
      </c>
      <c r="U199" s="642"/>
      <c r="W199" s="642">
        <v>7316861</v>
      </c>
      <c r="X199" s="642"/>
    </row>
    <row r="200" spans="2:24" ht="43.5" customHeight="1"/>
  </sheetData>
  <mergeCells count="248">
    <mergeCell ref="B196:C198"/>
    <mergeCell ref="Q196:R196"/>
    <mergeCell ref="T196:U196"/>
    <mergeCell ref="W196:X196"/>
    <mergeCell ref="Q199:R199"/>
    <mergeCell ref="T199:U199"/>
    <mergeCell ref="W199:X199"/>
    <mergeCell ref="B190:C192"/>
    <mergeCell ref="Q190:R190"/>
    <mergeCell ref="T190:U190"/>
    <mergeCell ref="W190:X190"/>
    <mergeCell ref="B193:C195"/>
    <mergeCell ref="Q193:R193"/>
    <mergeCell ref="T193:U193"/>
    <mergeCell ref="W193:X193"/>
    <mergeCell ref="B184:C186"/>
    <mergeCell ref="Q184:R184"/>
    <mergeCell ref="T184:U184"/>
    <mergeCell ref="W184:X184"/>
    <mergeCell ref="B187:C189"/>
    <mergeCell ref="Q187:R187"/>
    <mergeCell ref="T187:U187"/>
    <mergeCell ref="W187:X187"/>
    <mergeCell ref="B178:C180"/>
    <mergeCell ref="Q178:R178"/>
    <mergeCell ref="T178:U178"/>
    <mergeCell ref="W178:X178"/>
    <mergeCell ref="B181:C183"/>
    <mergeCell ref="Q181:R181"/>
    <mergeCell ref="T181:U181"/>
    <mergeCell ref="W181:X181"/>
    <mergeCell ref="B172:C174"/>
    <mergeCell ref="Q172:R172"/>
    <mergeCell ref="T172:U172"/>
    <mergeCell ref="W172:X172"/>
    <mergeCell ref="B175:C177"/>
    <mergeCell ref="Q175:R175"/>
    <mergeCell ref="T175:U175"/>
    <mergeCell ref="W175:X175"/>
    <mergeCell ref="B166:C168"/>
    <mergeCell ref="Q166:R166"/>
    <mergeCell ref="T166:U166"/>
    <mergeCell ref="W166:X166"/>
    <mergeCell ref="B169:C171"/>
    <mergeCell ref="Q169:R169"/>
    <mergeCell ref="T169:U169"/>
    <mergeCell ref="W169:X169"/>
    <mergeCell ref="B160:C162"/>
    <mergeCell ref="Q160:R160"/>
    <mergeCell ref="T160:U160"/>
    <mergeCell ref="W160:X160"/>
    <mergeCell ref="B163:C165"/>
    <mergeCell ref="Q163:R163"/>
    <mergeCell ref="T163:U163"/>
    <mergeCell ref="W163:X163"/>
    <mergeCell ref="B151:C153"/>
    <mergeCell ref="Q151:R151"/>
    <mergeCell ref="T151:U151"/>
    <mergeCell ref="W151:X151"/>
    <mergeCell ref="B154:C156"/>
    <mergeCell ref="B157:C159"/>
    <mergeCell ref="B134:C135"/>
    <mergeCell ref="B136:C138"/>
    <mergeCell ref="B139:C141"/>
    <mergeCell ref="B142:C144"/>
    <mergeCell ref="B145:C147"/>
    <mergeCell ref="B148:C150"/>
    <mergeCell ref="B128:C130"/>
    <mergeCell ref="Q128:R128"/>
    <mergeCell ref="T128:U128"/>
    <mergeCell ref="W128:X128"/>
    <mergeCell ref="B131:C133"/>
    <mergeCell ref="Q131:R131"/>
    <mergeCell ref="T131:U131"/>
    <mergeCell ref="W131:X131"/>
    <mergeCell ref="B120:C121"/>
    <mergeCell ref="B122:C124"/>
    <mergeCell ref="Q122:R122"/>
    <mergeCell ref="T122:U122"/>
    <mergeCell ref="W122:X122"/>
    <mergeCell ref="B125:C127"/>
    <mergeCell ref="Q125:R125"/>
    <mergeCell ref="T125:U125"/>
    <mergeCell ref="W125:X125"/>
    <mergeCell ref="B116:C117"/>
    <mergeCell ref="Q116:R116"/>
    <mergeCell ref="T116:U116"/>
    <mergeCell ref="W116:X116"/>
    <mergeCell ref="B118:C119"/>
    <mergeCell ref="Q118:R118"/>
    <mergeCell ref="T118:U118"/>
    <mergeCell ref="W118:X118"/>
    <mergeCell ref="B110:C112"/>
    <mergeCell ref="Q110:R110"/>
    <mergeCell ref="T110:U110"/>
    <mergeCell ref="W110:X110"/>
    <mergeCell ref="B113:C115"/>
    <mergeCell ref="Q113:R113"/>
    <mergeCell ref="T113:U113"/>
    <mergeCell ref="W113:X113"/>
    <mergeCell ref="B105:C107"/>
    <mergeCell ref="Q105:R105"/>
    <mergeCell ref="T105:U105"/>
    <mergeCell ref="W105:X105"/>
    <mergeCell ref="B108:C109"/>
    <mergeCell ref="Q108:R108"/>
    <mergeCell ref="T108:U108"/>
    <mergeCell ref="W108:X108"/>
    <mergeCell ref="B99:C100"/>
    <mergeCell ref="Q99:R99"/>
    <mergeCell ref="T99:U99"/>
    <mergeCell ref="W99:X99"/>
    <mergeCell ref="B101:C102"/>
    <mergeCell ref="B103:C104"/>
    <mergeCell ref="Q103:R103"/>
    <mergeCell ref="T103:U103"/>
    <mergeCell ref="W103:X103"/>
    <mergeCell ref="B95:C96"/>
    <mergeCell ref="Q95:R95"/>
    <mergeCell ref="T95:U95"/>
    <mergeCell ref="W95:X95"/>
    <mergeCell ref="B97:C98"/>
    <mergeCell ref="Q97:R97"/>
    <mergeCell ref="T97:U97"/>
    <mergeCell ref="W97:X97"/>
    <mergeCell ref="B90:C91"/>
    <mergeCell ref="Q90:R90"/>
    <mergeCell ref="T90:U90"/>
    <mergeCell ref="W90:X90"/>
    <mergeCell ref="B92:C94"/>
    <mergeCell ref="Q92:R92"/>
    <mergeCell ref="T92:U92"/>
    <mergeCell ref="W92:X92"/>
    <mergeCell ref="B86:C87"/>
    <mergeCell ref="Q86:R86"/>
    <mergeCell ref="T86:U86"/>
    <mergeCell ref="W86:X86"/>
    <mergeCell ref="B88:C89"/>
    <mergeCell ref="Q88:R88"/>
    <mergeCell ref="T88:U88"/>
    <mergeCell ref="W88:X88"/>
    <mergeCell ref="B79:C80"/>
    <mergeCell ref="B81:C83"/>
    <mergeCell ref="B84:C85"/>
    <mergeCell ref="Q84:R84"/>
    <mergeCell ref="T84:U84"/>
    <mergeCell ref="W84:X84"/>
    <mergeCell ref="B73:C74"/>
    <mergeCell ref="Q73:R73"/>
    <mergeCell ref="T73:U73"/>
    <mergeCell ref="W73:X73"/>
    <mergeCell ref="B75:C76"/>
    <mergeCell ref="B77:C78"/>
    <mergeCell ref="B67:C68"/>
    <mergeCell ref="B69:C70"/>
    <mergeCell ref="Q69:R69"/>
    <mergeCell ref="T69:U69"/>
    <mergeCell ref="W69:X69"/>
    <mergeCell ref="B71:C72"/>
    <mergeCell ref="Q71:R71"/>
    <mergeCell ref="T71:U71"/>
    <mergeCell ref="W71:X71"/>
    <mergeCell ref="B61:C62"/>
    <mergeCell ref="B63:C64"/>
    <mergeCell ref="Q63:R63"/>
    <mergeCell ref="T63:U63"/>
    <mergeCell ref="W63:X63"/>
    <mergeCell ref="B65:C66"/>
    <mergeCell ref="Q65:R65"/>
    <mergeCell ref="T65:U65"/>
    <mergeCell ref="W65:X65"/>
    <mergeCell ref="B55:C56"/>
    <mergeCell ref="B57:C58"/>
    <mergeCell ref="Q57:R57"/>
    <mergeCell ref="T57:U57"/>
    <mergeCell ref="W57:X57"/>
    <mergeCell ref="B59:C60"/>
    <mergeCell ref="Q59:R59"/>
    <mergeCell ref="T59:U59"/>
    <mergeCell ref="W59:X59"/>
    <mergeCell ref="B51:C52"/>
    <mergeCell ref="Q51:R51"/>
    <mergeCell ref="T51:U51"/>
    <mergeCell ref="W51:X51"/>
    <mergeCell ref="B53:C54"/>
    <mergeCell ref="Q53:R53"/>
    <mergeCell ref="T53:U53"/>
    <mergeCell ref="W53:X53"/>
    <mergeCell ref="B45:C46"/>
    <mergeCell ref="B47:C48"/>
    <mergeCell ref="B49:C50"/>
    <mergeCell ref="Q49:R49"/>
    <mergeCell ref="T49:U49"/>
    <mergeCell ref="W49:X49"/>
    <mergeCell ref="B41:C42"/>
    <mergeCell ref="Q41:R41"/>
    <mergeCell ref="T41:U41"/>
    <mergeCell ref="W41:X41"/>
    <mergeCell ref="B43:C44"/>
    <mergeCell ref="Q43:R43"/>
    <mergeCell ref="T43:U43"/>
    <mergeCell ref="W43:X43"/>
    <mergeCell ref="B35:C36"/>
    <mergeCell ref="Q35:R35"/>
    <mergeCell ref="T35:U35"/>
    <mergeCell ref="W35:X35"/>
    <mergeCell ref="B37:C38"/>
    <mergeCell ref="B39:C40"/>
    <mergeCell ref="Q39:R39"/>
    <mergeCell ref="T39:U39"/>
    <mergeCell ref="W39:X39"/>
    <mergeCell ref="W27:X27"/>
    <mergeCell ref="B29:C30"/>
    <mergeCell ref="B31:C32"/>
    <mergeCell ref="B33:C34"/>
    <mergeCell ref="Q33:R33"/>
    <mergeCell ref="T33:U33"/>
    <mergeCell ref="W33:X33"/>
    <mergeCell ref="B21:C22"/>
    <mergeCell ref="B23:C24"/>
    <mergeCell ref="B25:C26"/>
    <mergeCell ref="B27:C28"/>
    <mergeCell ref="Q27:R27"/>
    <mergeCell ref="T27:U27"/>
    <mergeCell ref="B15:C16"/>
    <mergeCell ref="B17:C18"/>
    <mergeCell ref="B19:C20"/>
    <mergeCell ref="Q19:R19"/>
    <mergeCell ref="T19:U19"/>
    <mergeCell ref="W19:X19"/>
    <mergeCell ref="Q7:R9"/>
    <mergeCell ref="T7:T9"/>
    <mergeCell ref="W7:X9"/>
    <mergeCell ref="B11:C12"/>
    <mergeCell ref="B13:C14"/>
    <mergeCell ref="Q13:R13"/>
    <mergeCell ref="T13:U13"/>
    <mergeCell ref="W13:X13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C28" sqref="C28"/>
    </sheetView>
  </sheetViews>
  <sheetFormatPr defaultRowHeight="14.25"/>
  <cols>
    <col min="1" max="1" width="47.42578125" customWidth="1"/>
    <col min="2" max="2" width="65.85546875" customWidth="1"/>
    <col min="3" max="3" width="21.42578125" style="176" bestFit="1" customWidth="1"/>
    <col min="4" max="5" width="11.5703125" style="157" customWidth="1"/>
    <col min="6" max="6" width="12.85546875" style="157" bestFit="1" customWidth="1"/>
    <col min="7" max="7" width="17.85546875" style="157" customWidth="1"/>
    <col min="8" max="8" width="11.28515625" bestFit="1" customWidth="1"/>
  </cols>
  <sheetData>
    <row r="1" spans="1:8">
      <c r="A1" s="627" t="s">
        <v>338</v>
      </c>
      <c r="B1" s="627"/>
    </row>
    <row r="2" spans="1:8">
      <c r="A2" s="628" t="s">
        <v>339</v>
      </c>
      <c r="B2" s="627"/>
    </row>
    <row r="3" spans="1:8">
      <c r="A3" s="627" t="s">
        <v>340</v>
      </c>
      <c r="B3" s="627"/>
    </row>
    <row r="4" spans="1:8" ht="28.5">
      <c r="A4" s="627" t="s">
        <v>341</v>
      </c>
      <c r="B4" s="627"/>
      <c r="C4" s="177" t="s">
        <v>342</v>
      </c>
      <c r="D4" s="189" t="s">
        <v>343</v>
      </c>
      <c r="E4" s="157" t="s">
        <v>344</v>
      </c>
      <c r="F4" s="189" t="s">
        <v>345</v>
      </c>
    </row>
    <row r="5" spans="1:8">
      <c r="A5" s="628" t="s">
        <v>346</v>
      </c>
      <c r="B5" s="627"/>
      <c r="C5" s="178">
        <v>0</v>
      </c>
      <c r="D5" s="179">
        <f>縣庫對帳!P6</f>
        <v>141920</v>
      </c>
      <c r="E5" s="179">
        <v>40000</v>
      </c>
      <c r="F5" s="179">
        <f>庫款差額!C8+庫款差額!C15-庫款差額!C19-庫款差額!C22</f>
        <v>415233</v>
      </c>
    </row>
    <row r="6" spans="1:8" ht="15" thickBot="1">
      <c r="A6" s="625" t="s">
        <v>347</v>
      </c>
      <c r="B6" s="626"/>
      <c r="C6" s="176" t="s">
        <v>348</v>
      </c>
      <c r="D6" s="191">
        <f>VLOOKUP("銀行存款-縣庫存款",平衡!$E$13:$H$41,4,0)+VLOOKUP("零用及週轉金",平衡!$D$13:$H$41,5,0)</f>
        <v>3411389</v>
      </c>
      <c r="E6" s="191">
        <f>VLOOKUP("淨資產",平衡!$K$13:$U$64,10,0)+C5-VLOOKUP("固定資產",平衡!$B$13:$H$41,7,0)</f>
        <v>3411389</v>
      </c>
      <c r="F6" s="162" t="s">
        <v>349</v>
      </c>
    </row>
    <row r="7" spans="1:8" ht="15" thickBot="1">
      <c r="A7" s="625" t="s">
        <v>350</v>
      </c>
      <c r="B7" s="626"/>
      <c r="C7" s="176" t="s">
        <v>351</v>
      </c>
      <c r="D7" s="191">
        <f>VLOOKUP("銀行存款-專戶存款",平衡!$E$13:$H$41,4,0)+VLOOKUP("其他預付款",平衡!$D$13:$H$41,5,0)</f>
        <v>7316861</v>
      </c>
      <c r="E7" s="191">
        <f>VLOOKUP("應付代收款",平衡!$N$13:$U$41,7,0)+VLOOKUP("存入保證金",平衡!$N$13:$U$41,7,0)</f>
        <v>7316861</v>
      </c>
      <c r="F7" s="162" t="s">
        <v>352</v>
      </c>
    </row>
    <row r="8" spans="1:8" ht="20.25" thickBot="1">
      <c r="A8" s="77" t="s">
        <v>124</v>
      </c>
      <c r="B8" s="78" t="s">
        <v>125</v>
      </c>
      <c r="C8" s="176" t="s">
        <v>353</v>
      </c>
      <c r="D8" s="192">
        <f>VLOOKUP("合計：",平衡!$A$13:$H$41,8,0)</f>
        <v>53823600</v>
      </c>
      <c r="E8" s="192">
        <f>VLOOKUP("合計：",平衡!$K$13:$U$41,10,0)</f>
        <v>53823600</v>
      </c>
    </row>
    <row r="9" spans="1:8" ht="17.25" thickBot="1">
      <c r="A9" s="450" t="s">
        <v>126</v>
      </c>
      <c r="B9" s="74" t="s">
        <v>127</v>
      </c>
      <c r="C9" s="176" t="s">
        <v>354</v>
      </c>
      <c r="D9" s="192">
        <f>VLOOKUP("基金用途",餘絀表!$C$16:$T$45,18,0)</f>
        <v>29292148</v>
      </c>
      <c r="E9" s="192">
        <f>VLOOKUP("合       計",各項費用!$D$12:$Q$86,14)</f>
        <v>29292148</v>
      </c>
      <c r="F9" s="192">
        <f>縣庫對帳!P3</f>
        <v>29292148</v>
      </c>
    </row>
    <row r="10" spans="1:8" ht="33.75" thickBot="1">
      <c r="A10" s="450" t="s">
        <v>128</v>
      </c>
      <c r="B10" s="74" t="s">
        <v>129</v>
      </c>
      <c r="C10" s="176" t="s">
        <v>355</v>
      </c>
      <c r="D10" s="192">
        <f>VLOOKUP("基金來源",餘絀表!$C$16:$T$45,18,0)</f>
        <v>30961974</v>
      </c>
      <c r="E10" s="192">
        <f>縣庫對帳!N3</f>
        <v>30961974</v>
      </c>
      <c r="F10" s="192"/>
      <c r="G10" s="192"/>
      <c r="H10" s="179">
        <f>D13-E13</f>
        <v>0</v>
      </c>
    </row>
    <row r="11" spans="1:8" ht="27" customHeight="1">
      <c r="A11" s="620" t="s">
        <v>27</v>
      </c>
      <c r="B11" s="620" t="s">
        <v>130</v>
      </c>
      <c r="C11" s="176" t="s">
        <v>356</v>
      </c>
      <c r="D11" s="192">
        <f>VLOOKUP("政府撥入收入",餘絀表!$C$16:$T$45,18,0)</f>
        <v>30954013</v>
      </c>
      <c r="E11" s="192"/>
      <c r="F11" s="192">
        <f>VLOOKUP("政府撥入收入",收支!$B$14:$N$61,13,0)</f>
        <v>30954013</v>
      </c>
      <c r="G11" s="192">
        <f>VLOOKUP("政府撥入收入",對照表!$B$1:$E$28,4,0)</f>
        <v>30954013</v>
      </c>
    </row>
    <row r="12" spans="1:8" ht="28.5">
      <c r="A12" s="623"/>
      <c r="B12" s="623"/>
      <c r="C12" s="176" t="s">
        <v>357</v>
      </c>
      <c r="D12" s="192"/>
      <c r="E12" s="192"/>
      <c r="F12" s="192">
        <f>VLOOKUP("收入",收支!$A$14:$N$61,14,0)</f>
        <v>35488939</v>
      </c>
      <c r="G12" s="192">
        <f>VLOOKUP("基金來源",對照表!$A$1:$E$28,5,0)</f>
        <v>35488939</v>
      </c>
    </row>
    <row r="13" spans="1:8">
      <c r="A13" s="623"/>
      <c r="B13" s="623"/>
      <c r="C13" s="176" t="s">
        <v>358</v>
      </c>
      <c r="D13" s="192">
        <f>IF(封面!J10=12,0,VLOOKUP($G$13,平衡!$N$13:$U$41,7,0))</f>
        <v>3726907</v>
      </c>
      <c r="E13" s="192">
        <f>VLOOKUP("本期賸餘（短絀）",收支!$A$14:$N$50,14,0)</f>
        <v>3726907</v>
      </c>
      <c r="F13" s="192">
        <f>VLOOKUP("本期賸餘(短絀)",對照表!$A$1:$E$28,5,0)</f>
        <v>3726907</v>
      </c>
      <c r="G13" s="190" t="str">
        <f>IF(E13&gt;=0,"本期賸餘","本期短絀")</f>
        <v>本期賸餘</v>
      </c>
    </row>
    <row r="14" spans="1:8">
      <c r="A14" s="623"/>
      <c r="B14" s="623"/>
      <c r="C14" s="176" t="s">
        <v>359</v>
      </c>
      <c r="D14" s="192">
        <f>IF(封面!J10=12,0,VLOOKUP("本期賸餘(短絀－)",餘絀表!$C$16:$T$48,18,0))</f>
        <v>1669826</v>
      </c>
      <c r="E14" s="192"/>
      <c r="F14" s="192">
        <f>IF(封面!J10=12,0,VLOOKUP("本期賸餘(短絀)",對照表!$A$1:$C$28,3,0))</f>
        <v>1669826</v>
      </c>
      <c r="G14" s="190"/>
    </row>
    <row r="15" spans="1:8">
      <c r="A15" s="623"/>
      <c r="B15" s="623"/>
      <c r="C15" s="176" t="s">
        <v>360</v>
      </c>
      <c r="D15" s="192">
        <f>IF(封面!J12=12,0,VLOOKUP($G$15,平衡!$K$13:$U$41,10,0))</f>
        <v>46506739</v>
      </c>
      <c r="E15" s="192">
        <f>IF(封面!J12=12,0,VLOOKUP("期末淨資產",收支!$A$14:$N$50,14,0))</f>
        <v>46506739</v>
      </c>
      <c r="F15" s="192">
        <f>IF(封面!K12=12,0,VLOOKUP("期末基金餘額",對照表!$A$1:$E$40,5,0))</f>
        <v>46506739</v>
      </c>
      <c r="G15" s="190" t="s">
        <v>360</v>
      </c>
    </row>
    <row r="16" spans="1:8" ht="15" thickBot="1">
      <c r="A16" s="624"/>
      <c r="B16" s="624"/>
      <c r="C16" s="176" t="s">
        <v>361</v>
      </c>
      <c r="D16" s="192">
        <f>VLOOKUP("國民教育計畫",主要業務!$B$15:$J$24,7,0)</f>
        <v>2507062</v>
      </c>
      <c r="E16" s="192">
        <f>VLOOKUP("國民教育計畫",餘絀表!$C$16:$T$45,8,0)</f>
        <v>2507062</v>
      </c>
    </row>
    <row r="17" spans="1:10">
      <c r="A17" s="620" t="s">
        <v>142</v>
      </c>
      <c r="B17" s="620" t="s">
        <v>131</v>
      </c>
      <c r="C17" s="176" t="s">
        <v>362</v>
      </c>
      <c r="D17" s="192">
        <f>主要業務!H17</f>
        <v>29292148</v>
      </c>
      <c r="E17" s="192">
        <f>VLOOKUP("國民教育計畫",餘絀表!$C$16:$T$45,18,0)</f>
        <v>29292148</v>
      </c>
    </row>
    <row r="18" spans="1:10">
      <c r="A18" s="621"/>
      <c r="B18" s="623"/>
      <c r="C18" s="176" t="s">
        <v>363</v>
      </c>
      <c r="D18" s="192">
        <f>主要業務!H20</f>
        <v>0</v>
      </c>
      <c r="E18" s="192" t="e">
        <f>VLOOKUP("建築及設備計畫",餘絀表!$C$16:$T$45,9,0)</f>
        <v>#N/A</v>
      </c>
    </row>
    <row r="19" spans="1:10">
      <c r="A19" s="621"/>
      <c r="B19" s="623"/>
      <c r="C19" s="176" t="s">
        <v>364</v>
      </c>
      <c r="D19" s="192">
        <f>主要業務!H22</f>
        <v>0</v>
      </c>
      <c r="E19" s="192" t="e">
        <f>VLOOKUP("建築及設備計畫",餘絀表!$C$16:$T$45,18,0)</f>
        <v>#N/A</v>
      </c>
    </row>
    <row r="20" spans="1:10">
      <c r="A20" s="621"/>
      <c r="B20" s="623"/>
      <c r="C20" s="176" t="s">
        <v>365</v>
      </c>
      <c r="D20" s="192">
        <f>VLOOKUP("用人費用",各項費用!$F$12:$Q$100,12,0)</f>
        <v>28141899</v>
      </c>
      <c r="E20" s="192">
        <f>VLOOKUP("人事支出",收支!$B$14:$N$61,13,0)</f>
        <v>28141899</v>
      </c>
      <c r="F20" s="192">
        <f>VLOOKUP("用人費用",對照表!$B$1:$E$28,4,0)</f>
        <v>28141899</v>
      </c>
    </row>
    <row r="21" spans="1:10">
      <c r="A21" s="621"/>
      <c r="B21" s="623"/>
      <c r="C21" s="176" t="s">
        <v>366</v>
      </c>
      <c r="D21" s="192">
        <f>IF(E21=0,0,資產!F10+H21-H22)</f>
        <v>2468795</v>
      </c>
      <c r="E21" s="192">
        <f>VLOOKUP("折舊、折耗及攤銷",收支!$B$14:$N$61,13,0)</f>
        <v>2468795</v>
      </c>
      <c r="F21" s="192">
        <f>VLOOKUP("折舊、折耗及攤銷",對照表!$H$1:$J$28,3,0)</f>
        <v>2468795</v>
      </c>
      <c r="G21" s="446" t="s">
        <v>367</v>
      </c>
      <c r="H21" s="447">
        <f>64274+21780*2</f>
        <v>107834</v>
      </c>
    </row>
    <row r="22" spans="1:10">
      <c r="A22" s="621"/>
      <c r="B22" s="623"/>
      <c r="C22" s="456"/>
      <c r="D22" s="179"/>
      <c r="E22" s="179"/>
      <c r="F22" s="179"/>
      <c r="G22" s="542" t="s">
        <v>445</v>
      </c>
      <c r="H22" s="457">
        <f>57720+16086+1638</f>
        <v>75444</v>
      </c>
    </row>
    <row r="23" spans="1:10">
      <c r="A23" s="621"/>
      <c r="B23" s="646"/>
      <c r="C23" s="474"/>
      <c r="D23" s="544" t="str">
        <f>封面!H10&amp;封面!I10&amp;封面!J10&amp;封面!K10&amp;"會計報告各帳戶存款餘額"</f>
        <v>112年9月會計報告各帳戶存款餘額</v>
      </c>
      <c r="E23" s="547"/>
      <c r="F23" s="545"/>
      <c r="G23" s="475" t="s">
        <v>368</v>
      </c>
      <c r="H23" s="476"/>
    </row>
    <row r="24" spans="1:10">
      <c r="A24" s="621"/>
      <c r="B24" s="646"/>
      <c r="C24" s="474"/>
      <c r="D24" s="477" t="s">
        <v>369</v>
      </c>
      <c r="E24" s="478" t="s">
        <v>370</v>
      </c>
      <c r="F24" s="479" t="s">
        <v>371</v>
      </c>
      <c r="G24" s="480"/>
      <c r="H24" s="480"/>
      <c r="I24" s="157"/>
    </row>
    <row r="25" spans="1:10">
      <c r="A25" s="621"/>
      <c r="B25" s="646"/>
      <c r="C25" s="481" t="s">
        <v>372</v>
      </c>
      <c r="D25" s="481">
        <f>代收款!Y14</f>
        <v>3</v>
      </c>
      <c r="E25" s="481"/>
      <c r="F25" s="482">
        <f t="shared" ref="F25" si="0">SUM(D25:E25)</f>
        <v>3</v>
      </c>
      <c r="G25" s="482"/>
      <c r="H25" s="483"/>
      <c r="I25" s="157"/>
    </row>
    <row r="26" spans="1:10" ht="15" thickBot="1">
      <c r="A26" s="622"/>
      <c r="B26" s="647"/>
      <c r="C26" s="481" t="s">
        <v>373</v>
      </c>
      <c r="D26" s="485">
        <f>F26</f>
        <v>3280369</v>
      </c>
      <c r="E26" s="484"/>
      <c r="F26" s="486">
        <f>F31-SUM(F25,F27:F30)</f>
        <v>3280369</v>
      </c>
      <c r="G26" s="482"/>
      <c r="H26" s="483"/>
      <c r="I26" s="157"/>
    </row>
    <row r="27" spans="1:10" ht="17.25" thickBot="1">
      <c r="A27" s="450" t="s">
        <v>132</v>
      </c>
      <c r="B27" s="473" t="s">
        <v>143</v>
      </c>
      <c r="C27" s="481" t="s">
        <v>300</v>
      </c>
      <c r="D27" s="560">
        <f>代收款!Y96</f>
        <v>1196645</v>
      </c>
      <c r="E27" s="560"/>
      <c r="F27" s="482">
        <f t="shared" ref="F27:F28" si="1">SUM(D27:E27)</f>
        <v>1196645</v>
      </c>
      <c r="G27" s="482"/>
      <c r="H27" s="483"/>
      <c r="I27" s="157"/>
    </row>
    <row r="28" spans="1:10" ht="16.899999999999999" customHeight="1" thickBot="1">
      <c r="A28" s="450" t="s">
        <v>66</v>
      </c>
      <c r="B28" s="473" t="s">
        <v>133</v>
      </c>
      <c r="C28" s="481" t="s">
        <v>303</v>
      </c>
      <c r="D28" s="560">
        <f>代收款!Y119</f>
        <v>897578</v>
      </c>
      <c r="E28" s="560">
        <f>代收款!Z119</f>
        <v>1900000</v>
      </c>
      <c r="F28" s="482">
        <f t="shared" si="1"/>
        <v>2797578</v>
      </c>
      <c r="G28" s="482"/>
      <c r="H28" s="483"/>
      <c r="I28" s="157"/>
      <c r="J28" s="159"/>
    </row>
    <row r="29" spans="1:10" ht="17.25" thickBot="1">
      <c r="A29" s="450" t="s">
        <v>134</v>
      </c>
      <c r="B29" s="473" t="s">
        <v>135</v>
      </c>
      <c r="C29" s="481" t="s">
        <v>302</v>
      </c>
      <c r="D29" s="484"/>
      <c r="E29" s="484"/>
      <c r="F29" s="482">
        <f>SUM(D29:E29)</f>
        <v>0</v>
      </c>
      <c r="G29" s="482"/>
      <c r="H29" s="483"/>
      <c r="I29" s="157"/>
    </row>
    <row r="30" spans="1:10">
      <c r="A30" s="620" t="s">
        <v>136</v>
      </c>
      <c r="B30" s="645" t="s">
        <v>137</v>
      </c>
      <c r="C30" s="481" t="s">
        <v>374</v>
      </c>
      <c r="D30" s="484">
        <f>代收款!Y91</f>
        <v>98</v>
      </c>
      <c r="E30" s="484"/>
      <c r="F30" s="482">
        <f>SUM(D30:E30)</f>
        <v>98</v>
      </c>
      <c r="G30" s="482"/>
      <c r="H30" s="483"/>
      <c r="I30" s="157"/>
    </row>
    <row r="31" spans="1:10">
      <c r="A31" s="623"/>
      <c r="B31" s="646"/>
      <c r="C31" s="487" t="s">
        <v>375</v>
      </c>
      <c r="D31" s="488">
        <f>SUM(D25:D30)</f>
        <v>5374693</v>
      </c>
      <c r="E31" s="488">
        <f>SUM(E25:E30)</f>
        <v>1900000</v>
      </c>
      <c r="F31" s="486">
        <f>VLOOKUP("銀行存款-專戶存款",平衡!$E$13:$H$40,4,0)</f>
        <v>7274693</v>
      </c>
      <c r="G31" s="489">
        <f>SUM(G25:G30)</f>
        <v>0</v>
      </c>
      <c r="H31" s="483"/>
      <c r="I31" s="157"/>
    </row>
    <row r="32" spans="1:10" ht="15" thickBot="1">
      <c r="A32" s="622"/>
      <c r="B32" s="622"/>
      <c r="C32" s="487" t="s">
        <v>443</v>
      </c>
      <c r="D32" s="643">
        <f>SUM(D31:E31)</f>
        <v>7274693</v>
      </c>
      <c r="E32" s="644"/>
      <c r="F32" s="179"/>
      <c r="G32" s="179"/>
      <c r="H32" s="157"/>
      <c r="I32" s="157"/>
    </row>
    <row r="33" spans="1:9" ht="15" thickBot="1">
      <c r="A33" s="193"/>
      <c r="B33" s="193"/>
      <c r="D33" s="176"/>
      <c r="E33" s="176"/>
      <c r="F33" s="192"/>
      <c r="G33" s="192"/>
      <c r="H33" s="179"/>
      <c r="I33" s="157"/>
    </row>
    <row r="34" spans="1:9" ht="15" thickBot="1">
      <c r="A34" s="193"/>
      <c r="B34" s="193"/>
      <c r="D34" s="176"/>
      <c r="E34" s="176"/>
      <c r="F34" s="192"/>
      <c r="G34" s="192"/>
      <c r="H34" s="179"/>
      <c r="I34" s="157"/>
    </row>
    <row r="35" spans="1:9" ht="15" thickBot="1">
      <c r="A35" s="193"/>
      <c r="B35" s="193"/>
      <c r="D35" s="176"/>
      <c r="E35" s="176"/>
      <c r="F35" s="192"/>
      <c r="G35" s="192"/>
      <c r="H35" s="179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0" t="s">
        <v>139</v>
      </c>
      <c r="B38" s="74" t="s">
        <v>159</v>
      </c>
    </row>
    <row r="39" spans="1:9" ht="33.75" thickBot="1">
      <c r="A39" s="450" t="s">
        <v>126</v>
      </c>
      <c r="B39" s="74" t="s">
        <v>160</v>
      </c>
    </row>
    <row r="40" spans="1:9" ht="17.25" thickBot="1">
      <c r="A40" s="450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0" priority="34" stopIfTrue="1">
      <formula>$D$16&lt;&gt;$E$16</formula>
    </cfRule>
  </conditionalFormatting>
  <conditionalFormatting sqref="D17:E17">
    <cfRule type="expression" dxfId="49" priority="33" stopIfTrue="1">
      <formula>$D17&lt;&gt;$E17</formula>
    </cfRule>
  </conditionalFormatting>
  <conditionalFormatting sqref="D18:E18 E19">
    <cfRule type="expression" dxfId="48" priority="32" stopIfTrue="1">
      <formula>$D$18&lt;&gt;$E$18</formula>
    </cfRule>
  </conditionalFormatting>
  <conditionalFormatting sqref="G31">
    <cfRule type="expression" dxfId="47" priority="31" stopIfTrue="1">
      <formula>$F$33&lt;&gt;$G$33</formula>
    </cfRule>
  </conditionalFormatting>
  <conditionalFormatting sqref="G32">
    <cfRule type="expression" dxfId="46" priority="30" stopIfTrue="1">
      <formula>$H$34&lt;&gt;0</formula>
    </cfRule>
  </conditionalFormatting>
  <conditionalFormatting sqref="G33">
    <cfRule type="expression" dxfId="45" priority="29" stopIfTrue="1">
      <formula>$F$33&lt;&gt;$G$33</formula>
    </cfRule>
  </conditionalFormatting>
  <conditionalFormatting sqref="G34">
    <cfRule type="expression" dxfId="44" priority="28" stopIfTrue="1">
      <formula>$H$34&lt;&gt;0</formula>
    </cfRule>
  </conditionalFormatting>
  <conditionalFormatting sqref="G31">
    <cfRule type="expression" dxfId="43" priority="27" stopIfTrue="1">
      <formula>$F$33&lt;&gt;$G$33</formula>
    </cfRule>
  </conditionalFormatting>
  <conditionalFormatting sqref="D14 F14:F15">
    <cfRule type="expression" dxfId="42" priority="26">
      <formula>$D$14&lt;&gt;$F$14</formula>
    </cfRule>
  </conditionalFormatting>
  <conditionalFormatting sqref="F15">
    <cfRule type="expression" dxfId="41" priority="23">
      <formula>$E$15&lt;&gt;$F$15</formula>
    </cfRule>
    <cfRule type="expression" dxfId="40" priority="24">
      <formula>$D$15&lt;&gt;$F$15</formula>
    </cfRule>
    <cfRule type="expression" dxfId="39" priority="25">
      <formula>$D$14&lt;&gt;$F$14</formula>
    </cfRule>
  </conditionalFormatting>
  <conditionalFormatting sqref="D15">
    <cfRule type="expression" dxfId="38" priority="21">
      <formula>$D$15&lt;&gt;$F$15</formula>
    </cfRule>
    <cfRule type="expression" dxfId="37" priority="22">
      <formula>$D$15&lt;&gt;$E$15</formula>
    </cfRule>
  </conditionalFormatting>
  <conditionalFormatting sqref="E15">
    <cfRule type="expression" dxfId="36" priority="19">
      <formula>$E$15&lt;&gt;$F$15</formula>
    </cfRule>
    <cfRule type="expression" dxfId="35" priority="20">
      <formula>$D$15&lt;&gt;$E$15</formula>
    </cfRule>
  </conditionalFormatting>
  <conditionalFormatting sqref="D7:E7">
    <cfRule type="expression" dxfId="34" priority="18">
      <formula>$D$7&lt;&gt;$E$7</formula>
    </cfRule>
  </conditionalFormatting>
  <conditionalFormatting sqref="D8:E8">
    <cfRule type="expression" dxfId="33" priority="17">
      <formula>$D$8&lt;&gt;$E$8</formula>
    </cfRule>
  </conditionalFormatting>
  <conditionalFormatting sqref="E16:E19">
    <cfRule type="expression" dxfId="32" priority="16" stopIfTrue="1">
      <formula>#REF!&lt;&gt;#REF!</formula>
    </cfRule>
  </conditionalFormatting>
  <conditionalFormatting sqref="D20:F20">
    <cfRule type="expression" dxfId="31" priority="14">
      <formula>$D$20&lt;&gt;$E$20</formula>
    </cfRule>
  </conditionalFormatting>
  <conditionalFormatting sqref="D20:F20">
    <cfRule type="expression" dxfId="30" priority="13">
      <formula>$E$20&lt;&gt;$F$20</formula>
    </cfRule>
  </conditionalFormatting>
  <conditionalFormatting sqref="D21:F22 D23:D24 F23">
    <cfRule type="expression" dxfId="29" priority="12">
      <formula>$D$21&lt;&gt;$E$21</formula>
    </cfRule>
  </conditionalFormatting>
  <conditionalFormatting sqref="D21:F22 D23:D24 F23">
    <cfRule type="expression" dxfId="28" priority="11">
      <formula>$D$21&lt;&gt;$F$21</formula>
    </cfRule>
  </conditionalFormatting>
  <conditionalFormatting sqref="D9:F9">
    <cfRule type="expression" dxfId="27" priority="9">
      <formula>$D$9&lt;&gt;$F$9</formula>
    </cfRule>
    <cfRule type="expression" dxfId="26" priority="10">
      <formula>$D$9&lt;&gt;$E$9</formula>
    </cfRule>
  </conditionalFormatting>
  <conditionalFormatting sqref="D10:G10">
    <cfRule type="expression" dxfId="25" priority="8">
      <formula>$D$10&lt;&gt;$E$10</formula>
    </cfRule>
  </conditionalFormatting>
  <conditionalFormatting sqref="F12:G12">
    <cfRule type="expression" dxfId="24" priority="7">
      <formula>$F$12&lt;&gt;$G$12</formula>
    </cfRule>
  </conditionalFormatting>
  <conditionalFormatting sqref="F35:G35">
    <cfRule type="expression" dxfId="23" priority="6" stopIfTrue="1">
      <formula>$F$35&lt;&gt;$G$35</formula>
    </cfRule>
  </conditionalFormatting>
  <conditionalFormatting sqref="F30">
    <cfRule type="expression" dxfId="22" priority="5" stopIfTrue="1">
      <formula>$F31&lt;&gt;$G31</formula>
    </cfRule>
  </conditionalFormatting>
  <conditionalFormatting sqref="G31 F25:F31">
    <cfRule type="expression" dxfId="21" priority="4" stopIfTrue="1">
      <formula>$F25&lt;&gt;$G25</formula>
    </cfRule>
  </conditionalFormatting>
  <conditionalFormatting sqref="E13:F13">
    <cfRule type="expression" dxfId="20" priority="3">
      <formula>$E$13&lt;&gt;$F$13</formula>
    </cfRule>
  </conditionalFormatting>
  <conditionalFormatting sqref="E23">
    <cfRule type="expression" dxfId="19" priority="2">
      <formula>$D$21&lt;&gt;$E$21</formula>
    </cfRule>
  </conditionalFormatting>
  <conditionalFormatting sqref="E23">
    <cfRule type="expression" dxfId="18" priority="1">
      <formula>$D$21&lt;&gt;$F$21</formula>
    </cfRule>
  </conditionalFormatting>
  <conditionalFormatting sqref="F25:G25">
    <cfRule type="expression" dxfId="17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I5" sqref="I5"/>
    </sheetView>
  </sheetViews>
  <sheetFormatPr defaultColWidth="9.140625" defaultRowHeight="14.25"/>
  <cols>
    <col min="1" max="6" width="9.140625" style="564"/>
    <col min="7" max="7" width="10.42578125" style="564" bestFit="1" customWidth="1"/>
    <col min="8" max="8" width="14" style="564" customWidth="1"/>
    <col min="9" max="9" width="9.28515625" style="564" bestFit="1" customWidth="1"/>
    <col min="10" max="10" width="9.140625" style="564"/>
    <col min="11" max="12" width="6.85546875" style="564" bestFit="1" customWidth="1"/>
    <col min="13" max="13" width="11.85546875" style="564" customWidth="1"/>
    <col min="14" max="14" width="9.140625" style="564"/>
    <col min="15" max="15" width="11.7109375" style="564" bestFit="1" customWidth="1"/>
    <col min="16" max="16384" width="9.140625" style="564"/>
  </cols>
  <sheetData>
    <row r="1" spans="1:15" ht="36.75">
      <c r="A1" s="563" t="s">
        <v>279</v>
      </c>
    </row>
    <row r="4" spans="1:15" ht="36.75">
      <c r="A4" s="648" t="s">
        <v>278</v>
      </c>
      <c r="B4" s="649"/>
      <c r="C4" s="649"/>
      <c r="D4" s="649"/>
      <c r="E4" s="649"/>
      <c r="F4" s="649"/>
      <c r="G4" s="649"/>
      <c r="H4" s="649"/>
      <c r="I4" s="649"/>
      <c r="J4" s="649"/>
      <c r="K4" s="649"/>
      <c r="L4" s="649"/>
      <c r="M4" s="649"/>
      <c r="N4" s="649"/>
    </row>
    <row r="5" spans="1:15" ht="59.25" customHeight="1"/>
    <row r="6" spans="1:15" ht="59.25" customHeight="1"/>
    <row r="7" spans="1:15" ht="36.75">
      <c r="C7" s="650" t="s">
        <v>117</v>
      </c>
      <c r="D7" s="650"/>
      <c r="E7" s="650"/>
      <c r="F7" s="650"/>
      <c r="G7" s="650"/>
      <c r="H7" s="650"/>
      <c r="I7" s="650"/>
      <c r="J7" s="650"/>
      <c r="K7" s="650"/>
      <c r="L7" s="650"/>
    </row>
    <row r="8" spans="1:15" ht="51.75" customHeight="1"/>
    <row r="9" spans="1:15" ht="51.75" customHeight="1">
      <c r="O9" s="571">
        <f>IF(MOD(H10+1911,4)=0,1,0)</f>
        <v>0</v>
      </c>
    </row>
    <row r="10" spans="1:15" s="565" customFormat="1" ht="32.25">
      <c r="C10" s="566"/>
      <c r="D10" s="566"/>
      <c r="E10" s="652" t="s">
        <v>118</v>
      </c>
      <c r="F10" s="652"/>
      <c r="G10" s="652"/>
      <c r="H10" s="565">
        <v>112</v>
      </c>
      <c r="I10" s="565" t="s">
        <v>119</v>
      </c>
      <c r="J10" s="565">
        <v>9</v>
      </c>
      <c r="K10" s="567" t="s">
        <v>120</v>
      </c>
      <c r="L10" s="568" t="s">
        <v>123</v>
      </c>
      <c r="O10" s="572">
        <f>_xlfn.IFS(J10=1,31,J10=2,28+O9,J10=3,31,J10=4,30,J10=5,31,J10=6,30,J10=7,31,J10=8,31,J10=9,30,J10=10,31,J10=11,30,J10=12,31)</f>
        <v>30</v>
      </c>
    </row>
    <row r="15" spans="1:15" s="569" customFormat="1" ht="34.5" customHeight="1">
      <c r="B15" s="651" t="s">
        <v>121</v>
      </c>
      <c r="C15" s="651"/>
      <c r="D15" s="651"/>
      <c r="E15" s="651"/>
      <c r="F15" s="651"/>
      <c r="H15" s="570"/>
      <c r="I15" s="570" t="s">
        <v>122</v>
      </c>
      <c r="J15" s="570"/>
      <c r="K15" s="570"/>
      <c r="L15" s="570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SheetLayoutView="100" workbookViewId="0">
      <selection activeCell="M12" sqref="M12:M15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9.8554687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9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08" customWidth="1"/>
    <col min="34" max="16384" width="6.85546875" style="82"/>
  </cols>
  <sheetData>
    <row r="1" spans="2:35" ht="2.25" customHeight="1">
      <c r="AE1" s="656"/>
      <c r="AF1" s="656"/>
      <c r="AG1" s="656"/>
      <c r="AH1" s="656"/>
      <c r="AI1" s="656"/>
    </row>
    <row r="2" spans="2:35" ht="9" customHeight="1">
      <c r="B2" s="460"/>
      <c r="C2" s="660" t="str">
        <f>[1]封面!$A$4</f>
        <v>彰化縣地方教育發展基金－彰化縣秀水鄉馬興國民小學</v>
      </c>
      <c r="D2" s="660"/>
      <c r="E2" s="660"/>
      <c r="F2" s="660"/>
      <c r="G2" s="660"/>
      <c r="H2" s="660"/>
      <c r="I2" s="660"/>
      <c r="J2" s="660"/>
      <c r="K2" s="660"/>
      <c r="L2" s="660"/>
      <c r="M2" s="660"/>
      <c r="N2" s="660"/>
      <c r="O2" s="660"/>
      <c r="P2" s="660"/>
      <c r="Q2" s="660"/>
      <c r="R2" s="660"/>
      <c r="S2" s="660"/>
      <c r="T2" s="660"/>
      <c r="U2" s="660"/>
      <c r="V2" s="660"/>
      <c r="W2" s="660"/>
      <c r="X2" s="660"/>
      <c r="Y2" s="660"/>
      <c r="Z2" s="660"/>
      <c r="AA2" s="660"/>
      <c r="AB2" s="660"/>
      <c r="AC2" s="660"/>
      <c r="AD2" s="660"/>
      <c r="AE2" s="656"/>
      <c r="AF2" s="656"/>
      <c r="AG2" s="656"/>
      <c r="AH2" s="656"/>
      <c r="AI2" s="656"/>
    </row>
    <row r="3" spans="2:35" ht="18" customHeight="1">
      <c r="B3" s="460"/>
      <c r="C3" s="660"/>
      <c r="D3" s="660"/>
      <c r="E3" s="660"/>
      <c r="F3" s="660"/>
      <c r="G3" s="660"/>
      <c r="H3" s="660"/>
      <c r="I3" s="660"/>
      <c r="J3" s="660"/>
      <c r="K3" s="660"/>
      <c r="L3" s="660"/>
      <c r="M3" s="660"/>
      <c r="N3" s="660"/>
      <c r="O3" s="660"/>
      <c r="P3" s="660"/>
      <c r="Q3" s="660"/>
      <c r="R3" s="660"/>
      <c r="S3" s="660"/>
      <c r="T3" s="660"/>
      <c r="U3" s="660"/>
      <c r="V3" s="660"/>
      <c r="W3" s="660"/>
      <c r="X3" s="660"/>
      <c r="Y3" s="660"/>
      <c r="Z3" s="660"/>
      <c r="AA3" s="660"/>
      <c r="AB3" s="660"/>
      <c r="AC3" s="660"/>
      <c r="AD3" s="660"/>
    </row>
    <row r="4" spans="2:35" ht="24" customHeight="1">
      <c r="B4" s="657" t="s">
        <v>9</v>
      </c>
      <c r="C4" s="657"/>
      <c r="D4" s="657"/>
      <c r="E4" s="657"/>
      <c r="F4" s="657"/>
      <c r="G4" s="657"/>
      <c r="H4" s="657"/>
      <c r="I4" s="657"/>
      <c r="J4" s="657"/>
      <c r="K4" s="657"/>
      <c r="L4" s="657"/>
      <c r="M4" s="657"/>
      <c r="N4" s="657"/>
      <c r="O4" s="657"/>
      <c r="P4" s="657"/>
      <c r="Q4" s="657"/>
      <c r="R4" s="657"/>
      <c r="S4" s="657"/>
      <c r="T4" s="657"/>
      <c r="U4" s="657"/>
      <c r="V4" s="657"/>
      <c r="W4" s="657"/>
      <c r="X4" s="657"/>
      <c r="Y4" s="657"/>
      <c r="Z4" s="657"/>
      <c r="AA4" s="657"/>
      <c r="AB4" s="657"/>
      <c r="AC4" s="657"/>
      <c r="AD4" s="657"/>
    </row>
    <row r="5" spans="2:35" ht="7.5" customHeight="1">
      <c r="C5" s="658" t="str">
        <f>封面!$E$10&amp;封面!$H$10&amp;封面!$I$10&amp;封面!$J$10&amp;封面!$K$10&amp;封面!L10</f>
        <v>中華民國112年9月份</v>
      </c>
      <c r="D5" s="658"/>
      <c r="E5" s="658"/>
      <c r="F5" s="658"/>
      <c r="G5" s="658"/>
      <c r="H5" s="658"/>
      <c r="I5" s="658"/>
      <c r="J5" s="658"/>
      <c r="K5" s="658"/>
      <c r="L5" s="658"/>
      <c r="M5" s="658"/>
      <c r="N5" s="658"/>
      <c r="O5" s="658"/>
      <c r="P5" s="658"/>
      <c r="Q5" s="658"/>
      <c r="R5" s="658"/>
      <c r="S5" s="658"/>
      <c r="T5" s="658"/>
      <c r="U5" s="658"/>
      <c r="V5" s="658"/>
      <c r="W5" s="658"/>
      <c r="X5" s="658"/>
      <c r="Y5" s="658"/>
      <c r="Z5" s="658"/>
      <c r="AA5" s="658"/>
      <c r="AB5" s="658"/>
      <c r="AC5" s="658"/>
      <c r="AD5" s="658"/>
    </row>
    <row r="6" spans="2:35" ht="13.9" customHeight="1">
      <c r="C6" s="658"/>
      <c r="D6" s="658"/>
      <c r="E6" s="658"/>
      <c r="F6" s="658"/>
      <c r="G6" s="658"/>
      <c r="H6" s="658"/>
      <c r="I6" s="658"/>
      <c r="J6" s="658"/>
      <c r="K6" s="658"/>
      <c r="L6" s="658"/>
      <c r="M6" s="658"/>
      <c r="N6" s="658"/>
      <c r="O6" s="658"/>
      <c r="P6" s="658"/>
      <c r="Q6" s="658"/>
      <c r="R6" s="658"/>
      <c r="S6" s="658"/>
      <c r="T6" s="658"/>
      <c r="U6" s="658"/>
      <c r="V6" s="658"/>
      <c r="W6" s="658"/>
      <c r="X6" s="658"/>
      <c r="Y6" s="658"/>
      <c r="Z6" s="658"/>
      <c r="AA6" s="658"/>
      <c r="AB6" s="658"/>
      <c r="AC6" s="658"/>
      <c r="AD6" s="658"/>
    </row>
    <row r="7" spans="2:35" ht="16.149999999999999" customHeight="1">
      <c r="Y7" s="659" t="s">
        <v>1</v>
      </c>
      <c r="Z7" s="659"/>
      <c r="AA7" s="659"/>
      <c r="AB7" s="659"/>
      <c r="AC7" s="659"/>
      <c r="AD7" s="659"/>
    </row>
    <row r="8" spans="2:35" ht="3.75" customHeight="1"/>
    <row r="9" spans="2:35" s="83" customFormat="1" ht="12.75" customHeight="1">
      <c r="C9" s="653" t="s">
        <v>376</v>
      </c>
      <c r="D9" s="653"/>
      <c r="E9" s="459"/>
      <c r="F9" s="459"/>
      <c r="G9" s="672" t="s">
        <v>447</v>
      </c>
      <c r="H9" s="459"/>
      <c r="I9" s="459"/>
      <c r="J9" s="661" t="s">
        <v>10</v>
      </c>
      <c r="K9" s="662"/>
      <c r="L9" s="662"/>
      <c r="M9" s="662"/>
      <c r="N9" s="662"/>
      <c r="O9" s="662"/>
      <c r="P9" s="662"/>
      <c r="Q9" s="663"/>
      <c r="R9" s="459"/>
      <c r="S9" s="459"/>
      <c r="T9" s="661" t="s">
        <v>11</v>
      </c>
      <c r="U9" s="662"/>
      <c r="V9" s="662"/>
      <c r="W9" s="662"/>
      <c r="X9" s="662"/>
      <c r="Y9" s="662"/>
      <c r="Z9" s="662"/>
      <c r="AA9" s="662"/>
      <c r="AB9" s="662"/>
      <c r="AC9" s="662"/>
      <c r="AD9" s="663"/>
      <c r="AG9" s="209"/>
    </row>
    <row r="10" spans="2:35" s="83" customFormat="1" ht="15.6" hidden="1" customHeight="1">
      <c r="C10" s="459"/>
      <c r="D10" s="546"/>
      <c r="E10" s="459"/>
      <c r="F10" s="459"/>
      <c r="G10" s="680"/>
      <c r="H10" s="458"/>
      <c r="I10" s="459"/>
      <c r="J10" s="667"/>
      <c r="K10" s="668"/>
      <c r="L10" s="668"/>
      <c r="M10" s="668"/>
      <c r="N10" s="668"/>
      <c r="O10" s="668"/>
      <c r="P10" s="668"/>
      <c r="Q10" s="669"/>
      <c r="R10" s="459"/>
      <c r="S10" s="459"/>
      <c r="T10" s="667"/>
      <c r="U10" s="668"/>
      <c r="V10" s="668"/>
      <c r="W10" s="668"/>
      <c r="X10" s="668"/>
      <c r="Y10" s="668"/>
      <c r="Z10" s="668"/>
      <c r="AA10" s="668"/>
      <c r="AB10" s="668"/>
      <c r="AC10" s="668"/>
      <c r="AD10" s="669"/>
      <c r="AG10" s="209"/>
    </row>
    <row r="11" spans="2:35" s="83" customFormat="1" ht="25.15" hidden="1" customHeight="1">
      <c r="C11" s="459"/>
      <c r="D11" s="459"/>
      <c r="E11" s="459"/>
      <c r="F11" s="459"/>
      <c r="G11" s="680"/>
      <c r="H11" s="458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G11" s="209"/>
    </row>
    <row r="12" spans="2:35" s="83" customFormat="1" ht="15" customHeight="1">
      <c r="C12" s="654" t="s">
        <v>446</v>
      </c>
      <c r="D12" s="653" t="s">
        <v>7</v>
      </c>
      <c r="E12" s="459"/>
      <c r="F12" s="459"/>
      <c r="G12" s="680"/>
      <c r="H12" s="458"/>
      <c r="I12" s="459"/>
      <c r="J12" s="672" t="s">
        <v>13</v>
      </c>
      <c r="K12" s="672" t="s">
        <v>13</v>
      </c>
      <c r="L12" s="459"/>
      <c r="M12" s="672" t="s">
        <v>14</v>
      </c>
      <c r="N12" s="661" t="s">
        <v>12</v>
      </c>
      <c r="O12" s="662"/>
      <c r="P12" s="662"/>
      <c r="Q12" s="662"/>
      <c r="R12" s="663"/>
      <c r="S12" s="459"/>
      <c r="T12" s="681" t="s">
        <v>377</v>
      </c>
      <c r="U12" s="459"/>
      <c r="V12" s="459"/>
      <c r="W12" s="661" t="s">
        <v>14</v>
      </c>
      <c r="X12" s="662"/>
      <c r="Y12" s="663"/>
      <c r="Z12" s="459"/>
      <c r="AA12" s="674" t="s">
        <v>12</v>
      </c>
      <c r="AB12" s="675"/>
      <c r="AC12" s="675"/>
      <c r="AD12" s="676"/>
      <c r="AG12" s="209"/>
    </row>
    <row r="13" spans="2:35" s="83" customFormat="1" ht="14.25" customHeight="1">
      <c r="C13" s="655"/>
      <c r="D13" s="653"/>
      <c r="E13" s="461"/>
      <c r="F13" s="459"/>
      <c r="G13" s="680"/>
      <c r="H13" s="458"/>
      <c r="I13" s="459"/>
      <c r="J13" s="680"/>
      <c r="K13" s="680"/>
      <c r="L13" s="459"/>
      <c r="M13" s="680"/>
      <c r="N13" s="667"/>
      <c r="O13" s="668"/>
      <c r="P13" s="668"/>
      <c r="Q13" s="668"/>
      <c r="R13" s="669"/>
      <c r="S13" s="459"/>
      <c r="T13" s="682"/>
      <c r="U13" s="670"/>
      <c r="V13" s="459"/>
      <c r="W13" s="664"/>
      <c r="X13" s="665"/>
      <c r="Y13" s="666"/>
      <c r="Z13" s="459"/>
      <c r="AA13" s="677"/>
      <c r="AB13" s="678"/>
      <c r="AC13" s="678"/>
      <c r="AD13" s="679"/>
      <c r="AG13" s="209"/>
    </row>
    <row r="14" spans="2:35" s="83" customFormat="1" ht="13.5" hidden="1" customHeight="1">
      <c r="C14" s="655"/>
      <c r="D14" s="653"/>
      <c r="E14" s="461"/>
      <c r="F14" s="459"/>
      <c r="G14" s="680"/>
      <c r="H14" s="459"/>
      <c r="I14" s="459"/>
      <c r="J14" s="680"/>
      <c r="K14" s="680"/>
      <c r="L14" s="459"/>
      <c r="M14" s="680"/>
      <c r="N14" s="672" t="s">
        <v>4</v>
      </c>
      <c r="O14" s="672" t="s">
        <v>4</v>
      </c>
      <c r="P14" s="459"/>
      <c r="Q14" s="661" t="s">
        <v>5</v>
      </c>
      <c r="R14" s="663"/>
      <c r="S14" s="459"/>
      <c r="T14" s="682"/>
      <c r="U14" s="671"/>
      <c r="V14" s="459"/>
      <c r="W14" s="664"/>
      <c r="X14" s="665"/>
      <c r="Y14" s="666"/>
      <c r="Z14" s="459"/>
      <c r="AA14" s="670" t="s">
        <v>4</v>
      </c>
      <c r="AB14" s="459"/>
      <c r="AC14" s="459"/>
      <c r="AD14" s="670" t="s">
        <v>5</v>
      </c>
      <c r="AG14" s="209"/>
    </row>
    <row r="15" spans="2:35" s="83" customFormat="1" ht="18" customHeight="1">
      <c r="C15" s="655"/>
      <c r="D15" s="653"/>
      <c r="E15" s="461"/>
      <c r="F15" s="459"/>
      <c r="G15" s="673"/>
      <c r="H15" s="459"/>
      <c r="I15" s="459"/>
      <c r="J15" s="673"/>
      <c r="K15" s="673"/>
      <c r="L15" s="459"/>
      <c r="M15" s="673"/>
      <c r="N15" s="673"/>
      <c r="O15" s="673"/>
      <c r="P15" s="459"/>
      <c r="Q15" s="667"/>
      <c r="R15" s="669"/>
      <c r="S15" s="459"/>
      <c r="T15" s="683"/>
      <c r="U15" s="459"/>
      <c r="V15" s="459"/>
      <c r="W15" s="667"/>
      <c r="X15" s="668"/>
      <c r="Y15" s="669"/>
      <c r="Z15" s="459"/>
      <c r="AA15" s="671"/>
      <c r="AB15" s="459"/>
      <c r="AC15" s="459"/>
      <c r="AD15" s="671"/>
      <c r="AG15" s="209"/>
    </row>
    <row r="16" spans="2:35" ht="15">
      <c r="C16" s="371" t="s">
        <v>15</v>
      </c>
      <c r="D16" s="429" t="s">
        <v>378</v>
      </c>
      <c r="E16" s="372"/>
      <c r="F16" s="84"/>
      <c r="G16" s="169">
        <v>36013000</v>
      </c>
      <c r="H16" s="169"/>
      <c r="I16" s="169"/>
      <c r="J16" s="169">
        <v>2351000</v>
      </c>
      <c r="K16" s="169"/>
      <c r="L16" s="169"/>
      <c r="M16" s="169">
        <v>2351000</v>
      </c>
      <c r="N16" s="170"/>
      <c r="O16" s="170"/>
      <c r="P16" s="105"/>
      <c r="Q16" s="175"/>
      <c r="R16" s="105"/>
      <c r="S16" s="201"/>
      <c r="T16" s="203">
        <v>30961974</v>
      </c>
      <c r="U16" s="169"/>
      <c r="V16" s="170"/>
      <c r="W16" s="206">
        <v>31049000</v>
      </c>
      <c r="X16" s="203"/>
      <c r="Y16" s="169"/>
      <c r="Z16" s="170"/>
      <c r="AA16" s="174">
        <v>-87026</v>
      </c>
      <c r="AB16" s="105"/>
      <c r="AC16" s="105"/>
      <c r="AD16" s="175">
        <v>-0.28028599954909983</v>
      </c>
      <c r="AF16" s="82">
        <v>1</v>
      </c>
      <c r="AG16" s="208" t="str">
        <f>IF(LEN(D16)&lt;3,"",IF(OR(ABS(AD16)&gt;10,ABS(AA16)&gt;10000000,AND(T16&gt;0,W16=0)),"填寫說明",""))</f>
        <v/>
      </c>
    </row>
    <row r="17" spans="3:33" ht="15">
      <c r="C17" s="389" t="s">
        <v>16</v>
      </c>
      <c r="D17" s="429" t="s">
        <v>379</v>
      </c>
      <c r="E17" s="391"/>
      <c r="F17" s="86"/>
      <c r="G17" s="171">
        <v>10000</v>
      </c>
      <c r="H17" s="171"/>
      <c r="I17" s="171"/>
      <c r="J17" s="171"/>
      <c r="K17" s="172"/>
      <c r="L17" s="172"/>
      <c r="M17" s="172"/>
      <c r="N17" s="172"/>
      <c r="O17" s="172"/>
      <c r="P17" s="106"/>
      <c r="Q17" s="108"/>
      <c r="R17" s="106"/>
      <c r="S17" s="202"/>
      <c r="T17" s="205">
        <v>5923</v>
      </c>
      <c r="U17" s="172"/>
      <c r="V17" s="172"/>
      <c r="W17" s="207">
        <v>5000</v>
      </c>
      <c r="X17" s="204"/>
      <c r="Y17" s="172"/>
      <c r="Z17" s="172"/>
      <c r="AA17" s="172">
        <v>923</v>
      </c>
      <c r="AB17" s="106"/>
      <c r="AC17" s="106"/>
      <c r="AD17" s="108">
        <v>18.46</v>
      </c>
      <c r="AF17" s="82">
        <v>4</v>
      </c>
      <c r="AG17" s="208" t="str">
        <f t="shared" ref="AG17:AG45" si="0">IF(LEN(D17)&lt;3,"",IF(OR(ABS(AD17)&gt;10,ABS(AA17)&gt;10000000,AND(T17&gt;0,W17=0)),"填寫說明",""))</f>
        <v/>
      </c>
    </row>
    <row r="18" spans="3:33" ht="15">
      <c r="C18" s="392" t="s">
        <v>17</v>
      </c>
      <c r="D18" s="429" t="s">
        <v>380</v>
      </c>
      <c r="E18" s="390"/>
      <c r="F18" s="86"/>
      <c r="G18" s="171">
        <v>10000</v>
      </c>
      <c r="H18" s="171"/>
      <c r="I18" s="171"/>
      <c r="J18" s="171"/>
      <c r="K18" s="172"/>
      <c r="L18" s="172"/>
      <c r="M18" s="172"/>
      <c r="N18" s="172"/>
      <c r="O18" s="172"/>
      <c r="P18" s="106"/>
      <c r="Q18" s="108"/>
      <c r="R18" s="106"/>
      <c r="S18" s="202"/>
      <c r="T18" s="205">
        <v>5923</v>
      </c>
      <c r="U18" s="172"/>
      <c r="V18" s="172"/>
      <c r="W18" s="207">
        <v>5000</v>
      </c>
      <c r="X18" s="204"/>
      <c r="Y18" s="172"/>
      <c r="Z18" s="172"/>
      <c r="AA18" s="172">
        <v>923</v>
      </c>
      <c r="AB18" s="106"/>
      <c r="AC18" s="106"/>
      <c r="AD18" s="108">
        <v>18.46</v>
      </c>
      <c r="AF18" s="82">
        <v>5</v>
      </c>
      <c r="AG18" s="208" t="str">
        <f t="shared" si="0"/>
        <v>填寫說明</v>
      </c>
    </row>
    <row r="19" spans="3:33" ht="15">
      <c r="C19" s="389" t="s">
        <v>18</v>
      </c>
      <c r="D19" s="429" t="s">
        <v>381</v>
      </c>
      <c r="E19" s="391"/>
      <c r="F19" s="86"/>
      <c r="G19" s="171">
        <v>1000</v>
      </c>
      <c r="H19" s="171"/>
      <c r="I19" s="171"/>
      <c r="J19" s="171"/>
      <c r="K19" s="171"/>
      <c r="L19" s="171"/>
      <c r="M19" s="171"/>
      <c r="N19" s="172"/>
      <c r="O19" s="172"/>
      <c r="P19" s="106"/>
      <c r="Q19" s="108"/>
      <c r="R19" s="106"/>
      <c r="S19" s="202"/>
      <c r="T19" s="205">
        <v>1191</v>
      </c>
      <c r="U19" s="171"/>
      <c r="V19" s="172"/>
      <c r="W19" s="207"/>
      <c r="X19" s="205"/>
      <c r="Y19" s="171"/>
      <c r="Z19" s="172"/>
      <c r="AA19" s="172">
        <v>1191</v>
      </c>
      <c r="AB19" s="106"/>
      <c r="AC19" s="106"/>
      <c r="AD19" s="108"/>
      <c r="AF19" s="82">
        <v>6</v>
      </c>
      <c r="AG19" s="208" t="str">
        <f t="shared" si="0"/>
        <v/>
      </c>
    </row>
    <row r="20" spans="3:33" ht="15">
      <c r="C20" s="392" t="s">
        <v>382</v>
      </c>
      <c r="D20" s="429">
        <v>451</v>
      </c>
      <c r="E20" s="86"/>
      <c r="F20" s="86"/>
      <c r="G20" s="171"/>
      <c r="H20" s="171"/>
      <c r="I20" s="171"/>
      <c r="J20" s="171"/>
      <c r="K20" s="171"/>
      <c r="L20" s="171"/>
      <c r="M20" s="171"/>
      <c r="N20" s="172"/>
      <c r="O20" s="172"/>
      <c r="P20" s="106"/>
      <c r="Q20" s="108"/>
      <c r="R20" s="106"/>
      <c r="S20" s="202"/>
      <c r="T20" s="421">
        <v>1191</v>
      </c>
      <c r="U20" s="171"/>
      <c r="V20" s="172"/>
      <c r="W20" s="421"/>
      <c r="X20" s="205"/>
      <c r="Y20" s="171"/>
      <c r="Z20" s="172"/>
      <c r="AA20" s="172">
        <v>1191</v>
      </c>
      <c r="AB20" s="106"/>
      <c r="AC20" s="106"/>
      <c r="AD20" s="108"/>
      <c r="AF20" s="82">
        <v>7</v>
      </c>
      <c r="AG20" s="208" t="str">
        <f t="shared" si="0"/>
        <v>填寫說明</v>
      </c>
    </row>
    <row r="21" spans="3:33" ht="15">
      <c r="C21" s="392" t="s">
        <v>19</v>
      </c>
      <c r="D21" s="429" t="s">
        <v>383</v>
      </c>
      <c r="E21" s="391"/>
      <c r="F21" s="86"/>
      <c r="G21" s="171">
        <v>1000</v>
      </c>
      <c r="H21" s="171"/>
      <c r="I21" s="171"/>
      <c r="J21" s="171"/>
      <c r="K21" s="172"/>
      <c r="L21" s="172"/>
      <c r="M21" s="172"/>
      <c r="N21" s="172"/>
      <c r="O21" s="172"/>
      <c r="P21" s="106"/>
      <c r="Q21" s="108"/>
      <c r="R21" s="106"/>
      <c r="S21" s="202"/>
      <c r="T21" s="205"/>
      <c r="U21" s="172"/>
      <c r="V21" s="172"/>
      <c r="W21" s="207"/>
      <c r="X21" s="205"/>
      <c r="Y21" s="171"/>
      <c r="Z21" s="171"/>
      <c r="AA21" s="171"/>
      <c r="AB21" s="106"/>
      <c r="AC21" s="108"/>
      <c r="AD21" s="108"/>
      <c r="AF21" s="82">
        <v>8</v>
      </c>
      <c r="AG21" s="208" t="str">
        <f t="shared" si="0"/>
        <v/>
      </c>
    </row>
    <row r="22" spans="3:33" ht="15">
      <c r="C22" s="389" t="s">
        <v>384</v>
      </c>
      <c r="D22" s="429" t="s">
        <v>385</v>
      </c>
      <c r="E22" s="390"/>
      <c r="F22" s="86"/>
      <c r="G22" s="171">
        <v>35992000</v>
      </c>
      <c r="H22" s="171"/>
      <c r="I22" s="171"/>
      <c r="J22" s="171">
        <v>2351000</v>
      </c>
      <c r="K22" s="172"/>
      <c r="L22" s="172"/>
      <c r="M22" s="172">
        <v>2351000</v>
      </c>
      <c r="N22" s="172"/>
      <c r="O22" s="172"/>
      <c r="P22" s="106"/>
      <c r="Q22" s="108"/>
      <c r="R22" s="106"/>
      <c r="S22" s="202"/>
      <c r="T22" s="205">
        <v>30954013</v>
      </c>
      <c r="U22" s="172"/>
      <c r="V22" s="172"/>
      <c r="W22" s="207">
        <v>31039000</v>
      </c>
      <c r="X22" s="205"/>
      <c r="Y22" s="171"/>
      <c r="Z22" s="171"/>
      <c r="AA22" s="171">
        <v>-84987</v>
      </c>
      <c r="AB22" s="106"/>
      <c r="AC22" s="108"/>
      <c r="AD22" s="108">
        <v>-0.27380714584877092</v>
      </c>
      <c r="AF22" s="82">
        <v>9</v>
      </c>
      <c r="AG22" s="208" t="str">
        <f t="shared" si="0"/>
        <v/>
      </c>
    </row>
    <row r="23" spans="3:33" ht="15">
      <c r="C23" s="392" t="s">
        <v>21</v>
      </c>
      <c r="D23" s="429" t="s">
        <v>386</v>
      </c>
      <c r="E23" s="391"/>
      <c r="F23" s="86"/>
      <c r="G23" s="171">
        <v>35992000</v>
      </c>
      <c r="H23" s="171"/>
      <c r="I23" s="171"/>
      <c r="J23" s="171">
        <v>2351000</v>
      </c>
      <c r="K23" s="171"/>
      <c r="L23" s="171"/>
      <c r="M23" s="171">
        <v>2351000</v>
      </c>
      <c r="N23" s="171"/>
      <c r="O23" s="171"/>
      <c r="P23" s="107"/>
      <c r="Q23" s="108"/>
      <c r="R23" s="108"/>
      <c r="S23" s="202"/>
      <c r="T23" s="205">
        <v>30954013</v>
      </c>
      <c r="U23" s="171"/>
      <c r="V23" s="172"/>
      <c r="W23" s="207">
        <v>31039000</v>
      </c>
      <c r="X23" s="205"/>
      <c r="Y23" s="171"/>
      <c r="Z23" s="171"/>
      <c r="AA23" s="171">
        <v>-84987</v>
      </c>
      <c r="AB23" s="106"/>
      <c r="AC23" s="108"/>
      <c r="AD23" s="108">
        <v>-0.27380714584877092</v>
      </c>
      <c r="AF23" s="82">
        <v>10</v>
      </c>
      <c r="AG23" s="208" t="str">
        <f t="shared" si="0"/>
        <v/>
      </c>
    </row>
    <row r="24" spans="3:33" ht="15">
      <c r="C24" s="167" t="s">
        <v>184</v>
      </c>
      <c r="D24" s="429" t="s">
        <v>387</v>
      </c>
      <c r="E24" s="86"/>
      <c r="F24" s="86"/>
      <c r="G24" s="171">
        <v>10000</v>
      </c>
      <c r="H24" s="171"/>
      <c r="I24" s="171"/>
      <c r="J24" s="171"/>
      <c r="K24" s="171"/>
      <c r="L24" s="171"/>
      <c r="M24" s="171"/>
      <c r="N24" s="171"/>
      <c r="O24" s="171"/>
      <c r="P24" s="107"/>
      <c r="Q24" s="108"/>
      <c r="R24" s="108"/>
      <c r="S24" s="202"/>
      <c r="T24" s="205">
        <v>847</v>
      </c>
      <c r="U24" s="171"/>
      <c r="V24" s="172"/>
      <c r="W24" s="207">
        <v>5000</v>
      </c>
      <c r="X24" s="205"/>
      <c r="Y24" s="171"/>
      <c r="Z24" s="171"/>
      <c r="AA24" s="171">
        <v>-4153</v>
      </c>
      <c r="AB24" s="106"/>
      <c r="AC24" s="108"/>
      <c r="AD24" s="108">
        <v>-83.06</v>
      </c>
      <c r="AF24" s="82">
        <v>11</v>
      </c>
      <c r="AG24" s="208" t="str">
        <f t="shared" si="0"/>
        <v/>
      </c>
    </row>
    <row r="25" spans="3:33" ht="15">
      <c r="C25" s="168" t="s">
        <v>388</v>
      </c>
      <c r="D25" s="429" t="s">
        <v>389</v>
      </c>
      <c r="E25" s="86"/>
      <c r="F25" s="86"/>
      <c r="G25" s="171">
        <v>10000</v>
      </c>
      <c r="H25" s="171"/>
      <c r="I25" s="171"/>
      <c r="J25" s="171"/>
      <c r="K25" s="171"/>
      <c r="L25" s="171"/>
      <c r="M25" s="171"/>
      <c r="N25" s="171"/>
      <c r="O25" s="171"/>
      <c r="P25" s="107"/>
      <c r="Q25" s="108"/>
      <c r="R25" s="108"/>
      <c r="S25" s="202"/>
      <c r="T25" s="205">
        <v>847</v>
      </c>
      <c r="U25" s="171"/>
      <c r="V25" s="172"/>
      <c r="W25" s="207">
        <v>5000</v>
      </c>
      <c r="X25" s="205"/>
      <c r="Y25" s="171"/>
      <c r="Z25" s="171"/>
      <c r="AA25" s="171">
        <v>-4153</v>
      </c>
      <c r="AB25" s="106"/>
      <c r="AC25" s="108"/>
      <c r="AD25" s="108">
        <v>-83.06</v>
      </c>
      <c r="AF25" s="82">
        <v>12</v>
      </c>
      <c r="AG25" s="208" t="str">
        <f t="shared" si="0"/>
        <v>填寫說明</v>
      </c>
    </row>
    <row r="26" spans="3:33" ht="15">
      <c r="C26" s="163" t="s">
        <v>167</v>
      </c>
      <c r="D26" s="429" t="s">
        <v>390</v>
      </c>
      <c r="E26" s="86"/>
      <c r="F26" s="86"/>
      <c r="G26" s="171">
        <v>36079000</v>
      </c>
      <c r="H26" s="171"/>
      <c r="I26" s="171"/>
      <c r="J26" s="171">
        <v>2507062</v>
      </c>
      <c r="K26" s="171"/>
      <c r="L26" s="171"/>
      <c r="M26" s="172">
        <v>2351000</v>
      </c>
      <c r="N26" s="171">
        <v>156062</v>
      </c>
      <c r="O26" s="171"/>
      <c r="P26" s="107"/>
      <c r="Q26" s="108">
        <v>6.6381114419396008</v>
      </c>
      <c r="R26" s="106"/>
      <c r="S26" s="106"/>
      <c r="T26" s="171">
        <v>29292148</v>
      </c>
      <c r="U26" s="171"/>
      <c r="V26" s="172"/>
      <c r="W26" s="171">
        <v>31115000</v>
      </c>
      <c r="X26" s="171"/>
      <c r="Y26" s="171"/>
      <c r="Z26" s="171"/>
      <c r="AA26" s="171">
        <v>-1822852</v>
      </c>
      <c r="AB26" s="106"/>
      <c r="AC26" s="108"/>
      <c r="AD26" s="108">
        <v>-5.8584348385023297</v>
      </c>
      <c r="AF26" s="82">
        <v>13</v>
      </c>
      <c r="AG26" s="208" t="str">
        <f t="shared" si="0"/>
        <v/>
      </c>
    </row>
    <row r="27" spans="3:33" ht="15">
      <c r="C27" s="167" t="s">
        <v>22</v>
      </c>
      <c r="D27" s="429" t="s">
        <v>391</v>
      </c>
      <c r="E27" s="163"/>
      <c r="F27" s="86"/>
      <c r="G27" s="171">
        <v>36079000</v>
      </c>
      <c r="H27" s="171"/>
      <c r="I27" s="171"/>
      <c r="J27" s="171">
        <v>2507062</v>
      </c>
      <c r="K27" s="171"/>
      <c r="L27" s="171"/>
      <c r="M27" s="172">
        <v>2351000</v>
      </c>
      <c r="N27" s="171">
        <v>156062</v>
      </c>
      <c r="O27" s="171"/>
      <c r="P27" s="107"/>
      <c r="Q27" s="108">
        <v>6.6381114419396008</v>
      </c>
      <c r="R27" s="106"/>
      <c r="S27" s="106"/>
      <c r="T27" s="171">
        <v>29292148</v>
      </c>
      <c r="U27" s="171"/>
      <c r="V27" s="172"/>
      <c r="W27" s="171">
        <v>31115000</v>
      </c>
      <c r="X27" s="171"/>
      <c r="Y27" s="171"/>
      <c r="Z27" s="171"/>
      <c r="AA27" s="171">
        <v>-1822852</v>
      </c>
      <c r="AB27" s="106"/>
      <c r="AC27" s="108"/>
      <c r="AD27" s="108">
        <v>-5.8584348385023297</v>
      </c>
      <c r="AF27" s="82">
        <v>14</v>
      </c>
      <c r="AG27" s="208" t="str">
        <f t="shared" si="0"/>
        <v/>
      </c>
    </row>
    <row r="28" spans="3:33" ht="15">
      <c r="C28" s="168" t="s">
        <v>449</v>
      </c>
      <c r="D28" s="429">
        <v>532</v>
      </c>
      <c r="E28" s="163"/>
      <c r="F28" s="86"/>
      <c r="G28" s="171">
        <v>36079000</v>
      </c>
      <c r="H28" s="171"/>
      <c r="I28" s="171"/>
      <c r="J28" s="171">
        <v>2507062</v>
      </c>
      <c r="K28" s="171"/>
      <c r="L28" s="171"/>
      <c r="M28" s="172">
        <v>2351000</v>
      </c>
      <c r="N28" s="171">
        <v>156062</v>
      </c>
      <c r="O28" s="171"/>
      <c r="P28" s="107"/>
      <c r="Q28" s="108">
        <v>6.6381114419396008</v>
      </c>
      <c r="R28" s="106"/>
      <c r="S28" s="106"/>
      <c r="T28" s="171">
        <v>29292148</v>
      </c>
      <c r="U28" s="171"/>
      <c r="V28" s="172"/>
      <c r="W28" s="171">
        <v>31115000</v>
      </c>
      <c r="X28" s="171"/>
      <c r="Y28" s="171"/>
      <c r="Z28" s="171"/>
      <c r="AA28" s="171">
        <v>-1822852</v>
      </c>
      <c r="AB28" s="106"/>
      <c r="AC28" s="108"/>
      <c r="AD28" s="108">
        <v>-5.8584348385023297</v>
      </c>
      <c r="AF28" s="82">
        <v>15</v>
      </c>
      <c r="AG28" s="208" t="str">
        <f t="shared" si="0"/>
        <v/>
      </c>
    </row>
    <row r="29" spans="3:33" ht="15">
      <c r="C29" s="163" t="s">
        <v>166</v>
      </c>
      <c r="D29" s="429" t="s">
        <v>392</v>
      </c>
      <c r="E29" s="86"/>
      <c r="F29" s="86"/>
      <c r="G29" s="171">
        <v>-66000</v>
      </c>
      <c r="H29" s="171"/>
      <c r="I29" s="171"/>
      <c r="J29" s="171">
        <v>-156062</v>
      </c>
      <c r="K29" s="172"/>
      <c r="L29" s="172"/>
      <c r="M29" s="172"/>
      <c r="N29" s="172">
        <v>-156062</v>
      </c>
      <c r="O29" s="172"/>
      <c r="P29" s="106"/>
      <c r="Q29" s="108"/>
      <c r="R29" s="106"/>
      <c r="S29" s="106"/>
      <c r="T29" s="171">
        <v>1669826</v>
      </c>
      <c r="U29" s="171"/>
      <c r="V29" s="172"/>
      <c r="W29" s="171">
        <v>-66000</v>
      </c>
      <c r="X29" s="171"/>
      <c r="Y29" s="171"/>
      <c r="Z29" s="171"/>
      <c r="AA29" s="171">
        <v>1735826</v>
      </c>
      <c r="AB29" s="106"/>
      <c r="AC29" s="108"/>
      <c r="AD29" s="108">
        <v>-2630.0393939393939</v>
      </c>
      <c r="AF29" s="82">
        <v>18</v>
      </c>
      <c r="AG29" s="208" t="str">
        <f t="shared" si="0"/>
        <v/>
      </c>
    </row>
    <row r="30" spans="3:33" ht="15">
      <c r="C30" s="163" t="s">
        <v>24</v>
      </c>
      <c r="D30" s="429" t="s">
        <v>393</v>
      </c>
      <c r="E30" s="86"/>
      <c r="F30" s="86"/>
      <c r="G30" s="171">
        <v>635442</v>
      </c>
      <c r="H30" s="171"/>
      <c r="I30" s="171"/>
      <c r="J30" s="171"/>
      <c r="K30" s="172"/>
      <c r="L30" s="172"/>
      <c r="M30" s="172"/>
      <c r="N30" s="172"/>
      <c r="O30" s="172"/>
      <c r="P30" s="106"/>
      <c r="Q30" s="108"/>
      <c r="R30" s="106"/>
      <c r="S30" s="106"/>
      <c r="T30" s="171">
        <v>1741563</v>
      </c>
      <c r="U30" s="171"/>
      <c r="V30" s="172"/>
      <c r="W30" s="171">
        <v>635442</v>
      </c>
      <c r="X30" s="171"/>
      <c r="Y30" s="171"/>
      <c r="Z30" s="171"/>
      <c r="AA30" s="171">
        <v>1106121</v>
      </c>
      <c r="AB30" s="106"/>
      <c r="AC30" s="108"/>
      <c r="AD30" s="108">
        <v>174.07111900063262</v>
      </c>
      <c r="AG30" s="208" t="str">
        <f t="shared" si="0"/>
        <v/>
      </c>
    </row>
    <row r="31" spans="3:33" ht="15">
      <c r="C31" s="85" t="s">
        <v>25</v>
      </c>
      <c r="D31" s="429">
        <v>72</v>
      </c>
      <c r="E31" s="86"/>
      <c r="F31" s="86"/>
      <c r="G31" s="171"/>
      <c r="H31" s="171"/>
      <c r="I31" s="171"/>
      <c r="J31" s="171"/>
      <c r="K31" s="172"/>
      <c r="L31" s="172"/>
      <c r="M31" s="172"/>
      <c r="N31" s="172"/>
      <c r="O31" s="172"/>
      <c r="P31" s="106"/>
      <c r="Q31" s="108"/>
      <c r="R31" s="106"/>
      <c r="S31" s="106"/>
      <c r="T31" s="171"/>
      <c r="U31" s="171"/>
      <c r="V31" s="172"/>
      <c r="W31" s="171"/>
      <c r="X31" s="171"/>
      <c r="Y31" s="171"/>
      <c r="Z31" s="171"/>
      <c r="AA31" s="171"/>
      <c r="AB31" s="106"/>
      <c r="AC31" s="108"/>
      <c r="AD31" s="108"/>
      <c r="AG31" s="208" t="str">
        <f t="shared" si="0"/>
        <v/>
      </c>
    </row>
    <row r="32" spans="3:33" ht="15">
      <c r="C32" s="85" t="s">
        <v>26</v>
      </c>
      <c r="D32" s="429" t="s">
        <v>394</v>
      </c>
      <c r="E32" s="86"/>
      <c r="F32" s="86"/>
      <c r="G32" s="171">
        <v>569442</v>
      </c>
      <c r="H32" s="171"/>
      <c r="I32" s="171"/>
      <c r="J32" s="171"/>
      <c r="K32" s="172"/>
      <c r="L32" s="172"/>
      <c r="M32" s="172"/>
      <c r="N32" s="172"/>
      <c r="O32" s="172"/>
      <c r="P32" s="106"/>
      <c r="Q32" s="108"/>
      <c r="R32" s="106"/>
      <c r="S32" s="106"/>
      <c r="T32" s="171">
        <v>3411389</v>
      </c>
      <c r="U32" s="171"/>
      <c r="V32" s="172"/>
      <c r="W32" s="171">
        <v>569442</v>
      </c>
      <c r="X32" s="171"/>
      <c r="Y32" s="171"/>
      <c r="Z32" s="171"/>
      <c r="AA32" s="171">
        <v>2841947</v>
      </c>
      <c r="AB32" s="106"/>
      <c r="AC32" s="108"/>
      <c r="AD32" s="108">
        <v>499.07576188619737</v>
      </c>
      <c r="AG32" s="208" t="str">
        <f t="shared" si="0"/>
        <v/>
      </c>
    </row>
    <row r="33" spans="2:33" ht="15" hidden="1" customHeight="1">
      <c r="C33" s="85"/>
      <c r="D33" s="430"/>
      <c r="E33" s="86"/>
      <c r="F33" s="86"/>
      <c r="G33" s="172"/>
      <c r="H33" s="172"/>
      <c r="I33" s="172"/>
      <c r="J33" s="172"/>
      <c r="K33" s="172"/>
      <c r="L33" s="172"/>
      <c r="M33" s="172"/>
      <c r="N33" s="172"/>
      <c r="O33" s="172"/>
      <c r="P33" s="106"/>
      <c r="Q33" s="106"/>
      <c r="R33" s="106"/>
      <c r="S33" s="106"/>
      <c r="T33" s="172"/>
      <c r="U33" s="172"/>
      <c r="V33" s="172"/>
      <c r="W33" s="172"/>
      <c r="X33" s="172"/>
      <c r="Y33" s="172"/>
      <c r="Z33" s="172"/>
      <c r="AA33" s="172"/>
      <c r="AB33" s="106"/>
      <c r="AC33" s="106"/>
      <c r="AD33" s="106"/>
      <c r="AG33" s="208" t="str">
        <f t="shared" si="0"/>
        <v/>
      </c>
    </row>
    <row r="34" spans="2:33" ht="15" hidden="1" customHeight="1">
      <c r="C34" s="85"/>
      <c r="D34" s="430"/>
      <c r="E34" s="86"/>
      <c r="F34" s="86"/>
      <c r="G34" s="172"/>
      <c r="H34" s="172"/>
      <c r="I34" s="172"/>
      <c r="J34" s="172"/>
      <c r="K34" s="172"/>
      <c r="L34" s="172"/>
      <c r="M34" s="172"/>
      <c r="N34" s="172"/>
      <c r="O34" s="172"/>
      <c r="P34" s="106"/>
      <c r="Q34" s="106"/>
      <c r="R34" s="106"/>
      <c r="S34" s="106"/>
      <c r="T34" s="172"/>
      <c r="U34" s="172"/>
      <c r="V34" s="172"/>
      <c r="W34" s="172"/>
      <c r="X34" s="172"/>
      <c r="Y34" s="172"/>
      <c r="Z34" s="172"/>
      <c r="AA34" s="172"/>
      <c r="AB34" s="106"/>
      <c r="AC34" s="106"/>
      <c r="AD34" s="106"/>
      <c r="AG34" s="208" t="str">
        <f t="shared" si="0"/>
        <v/>
      </c>
    </row>
    <row r="35" spans="2:33" ht="15" hidden="1" customHeight="1">
      <c r="C35" s="85"/>
      <c r="D35" s="430"/>
      <c r="E35" s="86"/>
      <c r="F35" s="86"/>
      <c r="G35" s="172"/>
      <c r="H35" s="172"/>
      <c r="I35" s="172"/>
      <c r="J35" s="172"/>
      <c r="K35" s="172"/>
      <c r="L35" s="172"/>
      <c r="M35" s="172"/>
      <c r="N35" s="172"/>
      <c r="O35" s="172"/>
      <c r="P35" s="106"/>
      <c r="Q35" s="106"/>
      <c r="R35" s="106"/>
      <c r="S35" s="106"/>
      <c r="T35" s="172"/>
      <c r="U35" s="172"/>
      <c r="V35" s="172"/>
      <c r="W35" s="172"/>
      <c r="X35" s="172"/>
      <c r="Y35" s="172"/>
      <c r="Z35" s="172"/>
      <c r="AA35" s="172"/>
      <c r="AB35" s="106"/>
      <c r="AC35" s="106"/>
      <c r="AD35" s="106"/>
      <c r="AG35" s="208" t="str">
        <f t="shared" si="0"/>
        <v/>
      </c>
    </row>
    <row r="36" spans="2:33" ht="15" hidden="1" customHeight="1">
      <c r="C36" s="85"/>
      <c r="D36" s="430"/>
      <c r="E36" s="86"/>
      <c r="F36" s="86"/>
      <c r="G36" s="172"/>
      <c r="H36" s="172"/>
      <c r="I36" s="172"/>
      <c r="J36" s="172"/>
      <c r="K36" s="172"/>
      <c r="L36" s="172"/>
      <c r="M36" s="172"/>
      <c r="N36" s="172"/>
      <c r="O36" s="172"/>
      <c r="P36" s="106"/>
      <c r="Q36" s="106"/>
      <c r="R36" s="106"/>
      <c r="S36" s="106"/>
      <c r="T36" s="172"/>
      <c r="U36" s="172"/>
      <c r="V36" s="172"/>
      <c r="W36" s="172"/>
      <c r="X36" s="172"/>
      <c r="Y36" s="172"/>
      <c r="Z36" s="172"/>
      <c r="AA36" s="172"/>
      <c r="AB36" s="106"/>
      <c r="AC36" s="106"/>
      <c r="AD36" s="106"/>
      <c r="AG36" s="208" t="str">
        <f t="shared" si="0"/>
        <v/>
      </c>
    </row>
    <row r="37" spans="2:33" ht="15" hidden="1" customHeight="1">
      <c r="C37" s="85"/>
      <c r="D37" s="430"/>
      <c r="E37" s="86"/>
      <c r="F37" s="86"/>
      <c r="G37" s="172"/>
      <c r="H37" s="172"/>
      <c r="I37" s="172"/>
      <c r="J37" s="172"/>
      <c r="K37" s="172"/>
      <c r="L37" s="172"/>
      <c r="M37" s="172"/>
      <c r="N37" s="172"/>
      <c r="O37" s="172"/>
      <c r="P37" s="106"/>
      <c r="Q37" s="106"/>
      <c r="R37" s="106"/>
      <c r="S37" s="106"/>
      <c r="T37" s="172"/>
      <c r="U37" s="172"/>
      <c r="V37" s="172"/>
      <c r="W37" s="172"/>
      <c r="X37" s="172"/>
      <c r="Y37" s="172"/>
      <c r="Z37" s="172"/>
      <c r="AA37" s="172"/>
      <c r="AB37" s="106"/>
      <c r="AC37" s="106"/>
      <c r="AD37" s="106"/>
      <c r="AG37" s="208" t="str">
        <f t="shared" si="0"/>
        <v/>
      </c>
    </row>
    <row r="38" spans="2:33" ht="15" hidden="1" customHeight="1">
      <c r="C38" s="85"/>
      <c r="D38" s="430"/>
      <c r="E38" s="86"/>
      <c r="F38" s="86"/>
      <c r="G38" s="172"/>
      <c r="H38" s="172"/>
      <c r="I38" s="172"/>
      <c r="J38" s="172"/>
      <c r="K38" s="172"/>
      <c r="L38" s="172"/>
      <c r="M38" s="172"/>
      <c r="N38" s="172"/>
      <c r="O38" s="172"/>
      <c r="P38" s="106"/>
      <c r="Q38" s="106"/>
      <c r="R38" s="106"/>
      <c r="S38" s="106"/>
      <c r="T38" s="172"/>
      <c r="U38" s="172"/>
      <c r="V38" s="172"/>
      <c r="W38" s="172"/>
      <c r="X38" s="172"/>
      <c r="Y38" s="172"/>
      <c r="Z38" s="172"/>
      <c r="AA38" s="172"/>
      <c r="AB38" s="106"/>
      <c r="AC38" s="106"/>
      <c r="AD38" s="106"/>
      <c r="AG38" s="208" t="str">
        <f t="shared" si="0"/>
        <v/>
      </c>
    </row>
    <row r="39" spans="2:33" ht="15" hidden="1" customHeight="1">
      <c r="C39" s="85"/>
      <c r="D39" s="430"/>
      <c r="E39" s="86"/>
      <c r="F39" s="86"/>
      <c r="G39" s="172"/>
      <c r="H39" s="172"/>
      <c r="I39" s="172"/>
      <c r="J39" s="172"/>
      <c r="K39" s="172"/>
      <c r="L39" s="172"/>
      <c r="M39" s="172"/>
      <c r="N39" s="172"/>
      <c r="O39" s="172"/>
      <c r="P39" s="106"/>
      <c r="Q39" s="106"/>
      <c r="R39" s="106"/>
      <c r="S39" s="106"/>
      <c r="T39" s="172"/>
      <c r="U39" s="172"/>
      <c r="V39" s="172"/>
      <c r="W39" s="172"/>
      <c r="X39" s="172"/>
      <c r="Y39" s="172"/>
      <c r="Z39" s="172"/>
      <c r="AA39" s="172"/>
      <c r="AB39" s="106"/>
      <c r="AC39" s="106"/>
      <c r="AD39" s="106"/>
      <c r="AG39" s="208" t="str">
        <f t="shared" si="0"/>
        <v/>
      </c>
    </row>
    <row r="40" spans="2:33" ht="15" hidden="1" customHeight="1">
      <c r="C40" s="85"/>
      <c r="D40" s="430"/>
      <c r="E40" s="86"/>
      <c r="F40" s="86"/>
      <c r="G40" s="172"/>
      <c r="H40" s="172"/>
      <c r="I40" s="172"/>
      <c r="J40" s="172"/>
      <c r="K40" s="172"/>
      <c r="L40" s="172"/>
      <c r="M40" s="172"/>
      <c r="N40" s="172"/>
      <c r="O40" s="172"/>
      <c r="P40" s="106"/>
      <c r="Q40" s="106"/>
      <c r="R40" s="106"/>
      <c r="S40" s="106"/>
      <c r="T40" s="172"/>
      <c r="U40" s="172"/>
      <c r="V40" s="172"/>
      <c r="W40" s="172"/>
      <c r="X40" s="172"/>
      <c r="Y40" s="172"/>
      <c r="Z40" s="172"/>
      <c r="AA40" s="172"/>
      <c r="AB40" s="106"/>
      <c r="AC40" s="106"/>
      <c r="AD40" s="106"/>
      <c r="AG40" s="208" t="str">
        <f t="shared" si="0"/>
        <v/>
      </c>
    </row>
    <row r="41" spans="2:33" ht="15" hidden="1" customHeight="1">
      <c r="C41" s="85"/>
      <c r="D41" s="430"/>
      <c r="E41" s="86"/>
      <c r="F41" s="86"/>
      <c r="G41" s="172"/>
      <c r="H41" s="172"/>
      <c r="I41" s="172"/>
      <c r="J41" s="172"/>
      <c r="K41" s="172"/>
      <c r="L41" s="172"/>
      <c r="M41" s="172"/>
      <c r="N41" s="172"/>
      <c r="O41" s="172"/>
      <c r="P41" s="106"/>
      <c r="Q41" s="106"/>
      <c r="R41" s="106"/>
      <c r="S41" s="106"/>
      <c r="T41" s="172"/>
      <c r="U41" s="172"/>
      <c r="V41" s="172"/>
      <c r="W41" s="172"/>
      <c r="X41" s="172"/>
      <c r="Y41" s="172"/>
      <c r="Z41" s="172"/>
      <c r="AA41" s="172"/>
      <c r="AB41" s="106"/>
      <c r="AC41" s="106"/>
      <c r="AD41" s="106"/>
      <c r="AG41" s="208" t="str">
        <f t="shared" si="0"/>
        <v/>
      </c>
    </row>
    <row r="42" spans="2:33" ht="15" hidden="1" customHeight="1">
      <c r="C42" s="85"/>
      <c r="D42" s="430"/>
      <c r="E42" s="86"/>
      <c r="F42" s="86"/>
      <c r="G42" s="172"/>
      <c r="H42" s="172"/>
      <c r="I42" s="172"/>
      <c r="J42" s="172"/>
      <c r="K42" s="172"/>
      <c r="L42" s="172"/>
      <c r="M42" s="172"/>
      <c r="N42" s="172"/>
      <c r="O42" s="172"/>
      <c r="P42" s="106"/>
      <c r="Q42" s="106"/>
      <c r="R42" s="106"/>
      <c r="S42" s="106"/>
      <c r="T42" s="172"/>
      <c r="U42" s="172"/>
      <c r="V42" s="172"/>
      <c r="W42" s="172"/>
      <c r="X42" s="172"/>
      <c r="Y42" s="172"/>
      <c r="Z42" s="172"/>
      <c r="AA42" s="172"/>
      <c r="AB42" s="106"/>
      <c r="AC42" s="106"/>
      <c r="AD42" s="106"/>
      <c r="AG42" s="208" t="str">
        <f t="shared" si="0"/>
        <v/>
      </c>
    </row>
    <row r="43" spans="2:33" ht="15" hidden="1" customHeight="1">
      <c r="C43" s="85"/>
      <c r="D43" s="430"/>
      <c r="E43" s="86"/>
      <c r="F43" s="86"/>
      <c r="G43" s="172"/>
      <c r="H43" s="172"/>
      <c r="I43" s="172"/>
      <c r="J43" s="172"/>
      <c r="K43" s="172"/>
      <c r="L43" s="172"/>
      <c r="M43" s="172"/>
      <c r="N43" s="172"/>
      <c r="O43" s="172"/>
      <c r="P43" s="106"/>
      <c r="Q43" s="106"/>
      <c r="R43" s="106"/>
      <c r="S43" s="106"/>
      <c r="T43" s="172"/>
      <c r="U43" s="172"/>
      <c r="V43" s="172"/>
      <c r="W43" s="172"/>
      <c r="X43" s="172"/>
      <c r="Y43" s="172"/>
      <c r="Z43" s="172"/>
      <c r="AA43" s="172"/>
      <c r="AB43" s="106"/>
      <c r="AC43" s="106"/>
      <c r="AD43" s="106"/>
      <c r="AG43" s="208" t="str">
        <f t="shared" si="0"/>
        <v/>
      </c>
    </row>
    <row r="44" spans="2:33" ht="15">
      <c r="C44" s="85"/>
      <c r="D44" s="430"/>
      <c r="E44" s="86"/>
      <c r="F44" s="86"/>
      <c r="G44" s="172"/>
      <c r="H44" s="172"/>
      <c r="I44" s="172"/>
      <c r="J44" s="172"/>
      <c r="K44" s="172"/>
      <c r="L44" s="172"/>
      <c r="M44" s="172"/>
      <c r="N44" s="172"/>
      <c r="O44" s="172"/>
      <c r="P44" s="106"/>
      <c r="Q44" s="106"/>
      <c r="R44" s="106"/>
      <c r="S44" s="106"/>
      <c r="T44" s="172"/>
      <c r="U44" s="172"/>
      <c r="V44" s="172"/>
      <c r="W44" s="172"/>
      <c r="X44" s="172"/>
      <c r="Y44" s="172"/>
      <c r="Z44" s="172"/>
      <c r="AA44" s="172"/>
      <c r="AB44" s="106"/>
      <c r="AC44" s="106"/>
      <c r="AD44" s="106"/>
      <c r="AG44" s="208" t="str">
        <f t="shared" si="0"/>
        <v/>
      </c>
    </row>
    <row r="45" spans="2:33" ht="15">
      <c r="C45" s="165"/>
      <c r="D45" s="431"/>
      <c r="E45" s="166"/>
      <c r="F45" s="166"/>
      <c r="G45" s="173"/>
      <c r="H45" s="173"/>
      <c r="I45" s="173"/>
      <c r="J45" s="173"/>
      <c r="K45" s="173"/>
      <c r="L45" s="173"/>
      <c r="M45" s="173"/>
      <c r="N45" s="173"/>
      <c r="O45" s="173"/>
      <c r="P45" s="109"/>
      <c r="Q45" s="109"/>
      <c r="R45" s="109"/>
      <c r="S45" s="109"/>
      <c r="T45" s="173"/>
      <c r="U45" s="173"/>
      <c r="V45" s="173"/>
      <c r="W45" s="173"/>
      <c r="X45" s="173"/>
      <c r="Y45" s="173"/>
      <c r="Z45" s="173"/>
      <c r="AA45" s="173"/>
      <c r="AB45" s="109"/>
      <c r="AC45" s="109"/>
      <c r="AD45" s="109"/>
      <c r="AG45" s="208" t="str">
        <f t="shared" si="0"/>
        <v/>
      </c>
    </row>
    <row r="46" spans="2:33" ht="7.5" customHeight="1"/>
    <row r="47" spans="2:33" ht="12" customHeight="1">
      <c r="B47" s="164"/>
    </row>
    <row r="48" spans="2:33" ht="43.5" customHeight="1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6" priority="12">
      <formula>AND(T16&gt;0,W16=0)</formula>
    </cfRule>
  </conditionalFormatting>
  <conditionalFormatting sqref="T20">
    <cfRule type="expression" dxfId="15" priority="7">
      <formula>AND(T20&gt;0,W20=0)</formula>
    </cfRule>
  </conditionalFormatting>
  <conditionalFormatting sqref="W20">
    <cfRule type="expression" dxfId="14" priority="6">
      <formula>AND(W20&gt;0,Z20=0)</formula>
    </cfRule>
  </conditionalFormatting>
  <conditionalFormatting sqref="W20">
    <cfRule type="expression" dxfId="13" priority="5">
      <formula>AND(W20&gt;0,Z20=0)</formula>
    </cfRule>
  </conditionalFormatting>
  <conditionalFormatting sqref="T16:T25">
    <cfRule type="expression" dxfId="12" priority="4">
      <formula>AND(T16&gt;0,W16=0)</formula>
    </cfRule>
  </conditionalFormatting>
  <conditionalFormatting sqref="T20">
    <cfRule type="expression" dxfId="11" priority="3">
      <formula>AND(T20&gt;0,W20=0)</formula>
    </cfRule>
  </conditionalFormatting>
  <conditionalFormatting sqref="W20">
    <cfRule type="expression" dxfId="10" priority="2">
      <formula>AND(W20&gt;0,Z20=0)</formula>
    </cfRule>
  </conditionalFormatting>
  <conditionalFormatting sqref="W20">
    <cfRule type="expression" dxfId="9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6"/>
  <sheetViews>
    <sheetView showGridLines="0" showZeros="0" showOutlineSymbols="0" view="pageBreakPreview" topLeftCell="A2" zoomScaleSheetLayoutView="100" workbookViewId="0">
      <selection activeCell="M12" sqref="M12:M15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98" t="str">
        <f>封面!$A$4</f>
        <v>彰化縣地方教育發展基金－彰化縣秀水鄉馬興國民小學</v>
      </c>
      <c r="B2" s="698"/>
      <c r="C2" s="698"/>
      <c r="D2" s="698"/>
      <c r="E2" s="698"/>
      <c r="F2" s="698"/>
      <c r="G2" s="698"/>
      <c r="H2" s="698"/>
      <c r="I2" s="698"/>
      <c r="J2" s="698"/>
      <c r="K2" s="698"/>
      <c r="L2" s="698"/>
      <c r="M2" s="698"/>
      <c r="N2" s="698"/>
      <c r="O2" s="698"/>
      <c r="P2" s="698"/>
      <c r="Q2" s="698"/>
      <c r="R2" s="698"/>
      <c r="S2" s="698"/>
      <c r="T2" s="698"/>
      <c r="U2" s="698"/>
      <c r="V2" s="698"/>
    </row>
    <row r="3" spans="1:22" ht="21">
      <c r="A3" s="700" t="s">
        <v>0</v>
      </c>
      <c r="B3" s="700"/>
      <c r="C3" s="700"/>
      <c r="D3" s="700"/>
      <c r="E3" s="700"/>
      <c r="F3" s="700"/>
      <c r="G3" s="700"/>
      <c r="H3" s="700"/>
      <c r="I3" s="700"/>
      <c r="J3" s="700"/>
      <c r="K3" s="700"/>
      <c r="L3" s="700"/>
      <c r="M3" s="700"/>
      <c r="N3" s="700"/>
      <c r="O3" s="700"/>
      <c r="P3" s="700"/>
      <c r="Q3" s="700"/>
      <c r="R3" s="700"/>
      <c r="S3" s="700"/>
      <c r="T3" s="700"/>
      <c r="U3" s="700"/>
      <c r="V3" s="700"/>
    </row>
    <row r="4" spans="1:22" ht="19.5">
      <c r="A4" s="701" t="str">
        <f>封面!$E$10&amp;封面!$H$10&amp;封面!$I$10&amp;封面!$J$10&amp;封面!$K$10&amp;封面!$O$10&amp;"日"</f>
        <v>中華民國112年9月30日</v>
      </c>
      <c r="B4" s="701"/>
      <c r="C4" s="701"/>
      <c r="D4" s="701"/>
      <c r="E4" s="701"/>
      <c r="F4" s="701"/>
      <c r="G4" s="701"/>
      <c r="H4" s="701"/>
      <c r="I4" s="701"/>
      <c r="J4" s="701"/>
      <c r="K4" s="701"/>
      <c r="L4" s="701"/>
      <c r="M4" s="701"/>
      <c r="N4" s="701"/>
      <c r="O4" s="701"/>
      <c r="P4" s="701"/>
      <c r="Q4" s="701"/>
      <c r="R4" s="701"/>
      <c r="S4" s="701"/>
      <c r="T4" s="701"/>
      <c r="U4" s="701"/>
      <c r="V4" s="701"/>
    </row>
    <row r="5" spans="1:22" ht="2.25" customHeight="1"/>
    <row r="6" spans="1:22" ht="15.75" customHeight="1">
      <c r="A6" s="699" t="s">
        <v>1</v>
      </c>
      <c r="B6" s="699"/>
      <c r="C6" s="699"/>
      <c r="D6" s="699"/>
      <c r="E6" s="699"/>
      <c r="F6" s="699"/>
      <c r="G6" s="699"/>
      <c r="H6" s="699"/>
      <c r="I6" s="699"/>
      <c r="J6" s="699"/>
      <c r="K6" s="699"/>
      <c r="L6" s="699"/>
      <c r="M6" s="699"/>
      <c r="N6" s="699"/>
      <c r="O6" s="699"/>
      <c r="P6" s="699"/>
      <c r="Q6" s="699"/>
      <c r="R6" s="699"/>
      <c r="S6" s="699"/>
      <c r="T6" s="699"/>
      <c r="U6" s="699"/>
      <c r="V6" s="699"/>
    </row>
    <row r="7" spans="1:22" ht="2.25" customHeight="1">
      <c r="A7" s="2"/>
      <c r="B7" s="2"/>
      <c r="C7" s="2"/>
      <c r="D7" s="2"/>
      <c r="E7" s="2"/>
      <c r="F7" s="2"/>
      <c r="G7" s="335"/>
      <c r="K7" s="2"/>
      <c r="L7" s="2"/>
      <c r="M7" s="2"/>
      <c r="N7" s="2"/>
      <c r="O7" s="2"/>
      <c r="P7" s="2"/>
      <c r="Q7" s="2"/>
      <c r="R7" s="335"/>
      <c r="S7" s="335"/>
      <c r="T7" s="335"/>
    </row>
    <row r="8" spans="1:22" ht="4.5" hidden="1" customHeight="1">
      <c r="A8" s="702" t="s">
        <v>2</v>
      </c>
      <c r="B8" s="702"/>
      <c r="C8" s="702"/>
      <c r="D8" s="702"/>
      <c r="E8" s="702"/>
      <c r="F8" s="702"/>
      <c r="G8" s="325"/>
      <c r="H8" s="1"/>
      <c r="I8" s="1"/>
      <c r="J8" s="448"/>
      <c r="K8" s="703" t="s">
        <v>3</v>
      </c>
      <c r="L8" s="703"/>
      <c r="M8" s="703"/>
      <c r="N8" s="703"/>
      <c r="O8" s="703"/>
      <c r="P8" s="703"/>
      <c r="Q8" s="704"/>
      <c r="R8" s="325"/>
      <c r="S8" s="325"/>
      <c r="T8" s="325"/>
      <c r="U8" s="1"/>
      <c r="V8" s="1"/>
    </row>
    <row r="9" spans="1:22" ht="18" customHeight="1">
      <c r="A9" s="702"/>
      <c r="B9" s="702"/>
      <c r="C9" s="702"/>
      <c r="D9" s="702"/>
      <c r="E9" s="702"/>
      <c r="F9" s="702"/>
      <c r="G9" s="325"/>
      <c r="H9" s="702" t="s">
        <v>4</v>
      </c>
      <c r="I9" s="702" t="s">
        <v>5</v>
      </c>
      <c r="J9" s="448"/>
      <c r="K9" s="703"/>
      <c r="L9" s="703"/>
      <c r="M9" s="703"/>
      <c r="N9" s="703"/>
      <c r="O9" s="703"/>
      <c r="P9" s="703"/>
      <c r="Q9" s="704"/>
      <c r="R9" s="325"/>
      <c r="S9" s="325"/>
      <c r="T9" s="705" t="s">
        <v>4</v>
      </c>
      <c r="U9" s="706"/>
      <c r="V9" s="702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702"/>
      <c r="I10" s="702"/>
      <c r="J10" s="1"/>
      <c r="K10" s="1"/>
      <c r="L10" s="1"/>
      <c r="M10" s="1"/>
      <c r="N10" s="1"/>
      <c r="O10" s="1"/>
      <c r="P10" s="1"/>
      <c r="Q10" s="1"/>
      <c r="R10" s="1"/>
      <c r="S10" s="1"/>
      <c r="T10" s="707"/>
      <c r="U10" s="707"/>
      <c r="V10" s="702"/>
    </row>
    <row r="11" spans="1:22" ht="18" customHeight="1">
      <c r="A11" s="702" t="s">
        <v>6</v>
      </c>
      <c r="B11" s="702"/>
      <c r="C11" s="702"/>
      <c r="D11" s="702"/>
      <c r="E11" s="702"/>
      <c r="F11" s="702" t="s">
        <v>7</v>
      </c>
      <c r="G11" s="325"/>
      <c r="H11" s="702"/>
      <c r="I11" s="702"/>
      <c r="J11" s="448"/>
      <c r="K11" s="703" t="s">
        <v>6</v>
      </c>
      <c r="L11" s="703"/>
      <c r="M11" s="703"/>
      <c r="N11" s="703"/>
      <c r="O11" s="704"/>
      <c r="P11" s="325"/>
      <c r="Q11" s="702" t="s">
        <v>7</v>
      </c>
      <c r="R11" s="325"/>
      <c r="S11" s="325"/>
      <c r="T11" s="708"/>
      <c r="U11" s="708"/>
      <c r="V11" s="702"/>
    </row>
    <row r="12" spans="1:22" ht="14.25" hidden="1">
      <c r="A12" s="702"/>
      <c r="B12" s="702"/>
      <c r="C12" s="702"/>
      <c r="D12" s="702"/>
      <c r="E12" s="702"/>
      <c r="F12" s="702"/>
      <c r="G12" s="325"/>
      <c r="H12" s="1"/>
      <c r="I12" s="1"/>
      <c r="J12" s="448"/>
      <c r="K12" s="703"/>
      <c r="L12" s="703"/>
      <c r="M12" s="703"/>
      <c r="N12" s="703"/>
      <c r="O12" s="704"/>
      <c r="P12" s="325"/>
      <c r="Q12" s="702"/>
      <c r="R12" s="325"/>
      <c r="S12" s="325"/>
      <c r="T12" s="325"/>
      <c r="U12" s="1"/>
      <c r="V12" s="1"/>
    </row>
    <row r="13" spans="1:22" ht="14.25" customHeight="1">
      <c r="A13" s="120" t="s">
        <v>466</v>
      </c>
      <c r="B13" s="121"/>
      <c r="C13" s="387"/>
      <c r="D13" s="387"/>
      <c r="E13" s="388"/>
      <c r="F13" s="123" t="s">
        <v>483</v>
      </c>
      <c r="G13" s="123"/>
      <c r="H13" s="124">
        <v>53823600</v>
      </c>
      <c r="I13" s="322">
        <v>100</v>
      </c>
      <c r="J13" s="449"/>
      <c r="K13" s="121" t="s">
        <v>510</v>
      </c>
      <c r="L13" s="121"/>
      <c r="M13" s="121"/>
      <c r="N13" s="121"/>
      <c r="O13" s="122"/>
      <c r="P13" s="122"/>
      <c r="Q13" s="125" t="s">
        <v>521</v>
      </c>
      <c r="R13" s="123"/>
      <c r="S13" s="123"/>
      <c r="T13" s="709">
        <v>7316861</v>
      </c>
      <c r="U13" s="710"/>
      <c r="V13" s="492">
        <v>13.594150149748437</v>
      </c>
    </row>
    <row r="14" spans="1:22" ht="15" customHeight="1">
      <c r="A14" s="334"/>
      <c r="B14" s="127" t="s">
        <v>467</v>
      </c>
      <c r="C14" s="369"/>
      <c r="D14" s="369"/>
      <c r="E14" s="370"/>
      <c r="F14" s="133" t="s">
        <v>484</v>
      </c>
      <c r="G14" s="133"/>
      <c r="H14" s="130">
        <v>10728250</v>
      </c>
      <c r="I14" s="323">
        <v>19.932241618918095</v>
      </c>
      <c r="J14" s="134"/>
      <c r="K14" s="127"/>
      <c r="L14" s="127" t="s">
        <v>511</v>
      </c>
      <c r="M14" s="127"/>
      <c r="N14" s="127"/>
      <c r="O14" s="128"/>
      <c r="P14" s="128"/>
      <c r="Q14" s="131" t="s">
        <v>522</v>
      </c>
      <c r="R14" s="133"/>
      <c r="S14" s="133"/>
      <c r="T14" s="692">
        <v>5083329</v>
      </c>
      <c r="U14" s="693"/>
      <c r="V14" s="493">
        <v>9.4444240073127776</v>
      </c>
    </row>
    <row r="15" spans="1:22" ht="14.25" customHeight="1">
      <c r="A15" s="334"/>
      <c r="B15" s="127"/>
      <c r="C15" s="369" t="s">
        <v>468</v>
      </c>
      <c r="D15" s="369"/>
      <c r="E15" s="370"/>
      <c r="F15" s="133" t="s">
        <v>485</v>
      </c>
      <c r="G15" s="133"/>
      <c r="H15" s="130">
        <v>10686082</v>
      </c>
      <c r="I15" s="323">
        <v>19.853896803632608</v>
      </c>
      <c r="J15" s="134"/>
      <c r="K15" s="127"/>
      <c r="L15" s="127"/>
      <c r="M15" s="127" t="s">
        <v>512</v>
      </c>
      <c r="N15" s="127"/>
      <c r="O15" s="128"/>
      <c r="P15" s="128"/>
      <c r="Q15" s="131" t="s">
        <v>523</v>
      </c>
      <c r="R15" s="133"/>
      <c r="S15" s="133"/>
      <c r="T15" s="692">
        <v>5083329</v>
      </c>
      <c r="U15" s="693"/>
      <c r="V15" s="493">
        <v>9.4444240073127776</v>
      </c>
    </row>
    <row r="16" spans="1:22" ht="14.25" customHeight="1">
      <c r="A16" s="334"/>
      <c r="B16" s="127"/>
      <c r="C16" s="369"/>
      <c r="D16" s="369" t="s">
        <v>469</v>
      </c>
      <c r="E16" s="370"/>
      <c r="F16" s="133" t="s">
        <v>486</v>
      </c>
      <c r="G16" s="133"/>
      <c r="H16" s="130">
        <v>10646082</v>
      </c>
      <c r="I16" s="323">
        <v>19.779579961206608</v>
      </c>
      <c r="J16" s="134"/>
      <c r="K16" s="127"/>
      <c r="L16" s="127"/>
      <c r="M16" s="127"/>
      <c r="N16" s="127" t="s">
        <v>513</v>
      </c>
      <c r="O16" s="128"/>
      <c r="P16" s="128"/>
      <c r="Q16" s="131" t="s">
        <v>524</v>
      </c>
      <c r="R16" s="133"/>
      <c r="S16" s="133"/>
      <c r="T16" s="692">
        <v>5083329</v>
      </c>
      <c r="U16" s="693"/>
      <c r="V16" s="493">
        <v>9.4444240073127776</v>
      </c>
    </row>
    <row r="17" spans="1:22" ht="14.25" customHeight="1">
      <c r="A17" s="334"/>
      <c r="B17" s="127"/>
      <c r="C17" s="369"/>
      <c r="D17" s="369"/>
      <c r="E17" s="370" t="s">
        <v>470</v>
      </c>
      <c r="F17" s="133" t="s">
        <v>487</v>
      </c>
      <c r="G17" s="133"/>
      <c r="H17" s="130">
        <v>3371389</v>
      </c>
      <c r="I17" s="323">
        <v>6.2637746267436576</v>
      </c>
      <c r="J17" s="134"/>
      <c r="K17" s="127"/>
      <c r="L17" s="127"/>
      <c r="M17" s="127"/>
      <c r="N17" s="127" t="s">
        <v>514</v>
      </c>
      <c r="O17" s="128"/>
      <c r="P17" s="128"/>
      <c r="Q17" s="592" t="s">
        <v>525</v>
      </c>
      <c r="R17" s="133"/>
      <c r="S17" s="133"/>
      <c r="T17" s="692">
        <v>0</v>
      </c>
      <c r="U17" s="693"/>
      <c r="V17" s="493">
        <v>0</v>
      </c>
    </row>
    <row r="18" spans="1:22" ht="14.25" customHeight="1">
      <c r="A18" s="334"/>
      <c r="B18" s="127"/>
      <c r="C18" s="369"/>
      <c r="D18" s="369"/>
      <c r="E18" s="370" t="s">
        <v>471</v>
      </c>
      <c r="F18" s="133" t="s">
        <v>488</v>
      </c>
      <c r="G18" s="133"/>
      <c r="H18" s="130">
        <v>7274693</v>
      </c>
      <c r="I18" s="323">
        <v>13.51580533446295</v>
      </c>
      <c r="J18" s="134"/>
      <c r="K18" s="127"/>
      <c r="L18" s="127" t="s">
        <v>515</v>
      </c>
      <c r="M18" s="127"/>
      <c r="N18" s="127"/>
      <c r="O18" s="128"/>
      <c r="P18" s="128"/>
      <c r="Q18" s="592" t="s">
        <v>526</v>
      </c>
      <c r="R18" s="133"/>
      <c r="S18" s="133"/>
      <c r="T18" s="692">
        <v>2233532</v>
      </c>
      <c r="U18" s="693"/>
      <c r="V18" s="493">
        <v>4.14972614243566</v>
      </c>
    </row>
    <row r="19" spans="1:22" ht="14.25" customHeight="1">
      <c r="A19" s="334"/>
      <c r="B19" s="127"/>
      <c r="C19" s="369"/>
      <c r="D19" s="369" t="s">
        <v>472</v>
      </c>
      <c r="E19" s="370"/>
      <c r="F19" s="133" t="s">
        <v>489</v>
      </c>
      <c r="G19" s="133"/>
      <c r="H19" s="130">
        <v>40000</v>
      </c>
      <c r="I19" s="323">
        <v>7.4316842425999008E-2</v>
      </c>
      <c r="J19" s="134"/>
      <c r="K19" s="127"/>
      <c r="L19" s="127"/>
      <c r="M19" s="127" t="s">
        <v>516</v>
      </c>
      <c r="N19" s="127"/>
      <c r="O19" s="128"/>
      <c r="P19" s="128"/>
      <c r="Q19" s="592" t="s">
        <v>527</v>
      </c>
      <c r="R19" s="133"/>
      <c r="S19" s="133"/>
      <c r="T19" s="692">
        <v>2233532</v>
      </c>
      <c r="U19" s="693"/>
      <c r="V19" s="493">
        <v>4.14972614243566</v>
      </c>
    </row>
    <row r="20" spans="1:22" ht="14.25" customHeight="1">
      <c r="A20" s="334"/>
      <c r="B20" s="127"/>
      <c r="C20" s="369" t="s">
        <v>473</v>
      </c>
      <c r="D20" s="369"/>
      <c r="E20" s="370"/>
      <c r="F20" s="133" t="s">
        <v>490</v>
      </c>
      <c r="G20" s="133"/>
      <c r="H20" s="130">
        <v>42168</v>
      </c>
      <c r="I20" s="323">
        <v>7.8344815285488145E-2</v>
      </c>
      <c r="J20" s="134"/>
      <c r="K20" s="127"/>
      <c r="L20" s="127"/>
      <c r="M20" s="127"/>
      <c r="N20" s="127" t="s">
        <v>517</v>
      </c>
      <c r="O20" s="128"/>
      <c r="P20" s="128"/>
      <c r="Q20" s="592" t="s">
        <v>528</v>
      </c>
      <c r="R20" s="133"/>
      <c r="S20" s="133"/>
      <c r="T20" s="692">
        <v>2233532</v>
      </c>
      <c r="U20" s="693"/>
      <c r="V20" s="493">
        <v>4.14972614243566</v>
      </c>
    </row>
    <row r="21" spans="1:22" ht="14.25" customHeight="1">
      <c r="A21" s="334"/>
      <c r="B21" s="127"/>
      <c r="C21" s="369"/>
      <c r="D21" s="369" t="s">
        <v>474</v>
      </c>
      <c r="E21" s="370"/>
      <c r="F21" s="133" t="s">
        <v>491</v>
      </c>
      <c r="G21" s="133"/>
      <c r="H21" s="130">
        <v>42168</v>
      </c>
      <c r="I21" s="323">
        <v>7.8344815285488145E-2</v>
      </c>
      <c r="J21" s="134"/>
      <c r="K21" s="127" t="s">
        <v>518</v>
      </c>
      <c r="L21" s="127"/>
      <c r="M21" s="127"/>
      <c r="N21" s="127"/>
      <c r="O21" s="128"/>
      <c r="P21" s="128"/>
      <c r="Q21" s="592" t="s">
        <v>529</v>
      </c>
      <c r="R21" s="133"/>
      <c r="S21" s="133"/>
      <c r="T21" s="692">
        <v>46506739</v>
      </c>
      <c r="U21" s="693"/>
      <c r="V21" s="493">
        <v>86.405849850251556</v>
      </c>
    </row>
    <row r="22" spans="1:22" ht="14.25" customHeight="1">
      <c r="A22" s="334"/>
      <c r="B22" s="127" t="s">
        <v>475</v>
      </c>
      <c r="C22" s="369"/>
      <c r="D22" s="369"/>
      <c r="E22" s="370"/>
      <c r="F22" s="133" t="s">
        <v>492</v>
      </c>
      <c r="G22" s="133"/>
      <c r="H22" s="130">
        <v>43095350</v>
      </c>
      <c r="I22" s="323">
        <v>80.067758381081887</v>
      </c>
      <c r="J22" s="134"/>
      <c r="K22" s="127"/>
      <c r="L22" s="127" t="s">
        <v>518</v>
      </c>
      <c r="M22" s="127"/>
      <c r="N22" s="127"/>
      <c r="O22" s="128"/>
      <c r="P22" s="128"/>
      <c r="Q22" s="592" t="s">
        <v>530</v>
      </c>
      <c r="R22" s="133"/>
      <c r="S22" s="133"/>
      <c r="T22" s="692">
        <v>46506739</v>
      </c>
      <c r="U22" s="693"/>
      <c r="V22" s="493">
        <v>86.405849850251556</v>
      </c>
    </row>
    <row r="23" spans="1:22" ht="14.25" customHeight="1">
      <c r="A23" s="334"/>
      <c r="B23" s="127"/>
      <c r="C23" s="369" t="s">
        <v>44</v>
      </c>
      <c r="D23" s="369"/>
      <c r="E23" s="370"/>
      <c r="F23" s="133" t="s">
        <v>493</v>
      </c>
      <c r="G23" s="133"/>
      <c r="H23" s="130">
        <v>11027358</v>
      </c>
      <c r="I23" s="323">
        <v>20.487960671526988</v>
      </c>
      <c r="J23" s="134"/>
      <c r="K23" s="127"/>
      <c r="L23" s="127"/>
      <c r="M23" s="127" t="s">
        <v>518</v>
      </c>
      <c r="N23" s="127"/>
      <c r="O23" s="128"/>
      <c r="P23" s="128"/>
      <c r="Q23" s="592" t="s">
        <v>531</v>
      </c>
      <c r="R23" s="133"/>
      <c r="S23" s="133"/>
      <c r="T23" s="692">
        <v>46506739</v>
      </c>
      <c r="U23" s="693"/>
      <c r="V23" s="493">
        <v>86.405849850251556</v>
      </c>
    </row>
    <row r="24" spans="1:22" ht="14.25" customHeight="1">
      <c r="A24" s="334"/>
      <c r="B24" s="127"/>
      <c r="C24" s="369"/>
      <c r="D24" s="369" t="s">
        <v>44</v>
      </c>
      <c r="E24" s="370"/>
      <c r="F24" s="133" t="s">
        <v>494</v>
      </c>
      <c r="G24" s="133"/>
      <c r="H24" s="130">
        <v>11027358</v>
      </c>
      <c r="I24" s="323">
        <v>20.487960671526988</v>
      </c>
      <c r="J24" s="134"/>
      <c r="K24" s="127"/>
      <c r="L24" s="127"/>
      <c r="M24" s="127"/>
      <c r="N24" s="127" t="s">
        <v>519</v>
      </c>
      <c r="O24" s="128"/>
      <c r="P24" s="128"/>
      <c r="Q24" s="592" t="s">
        <v>532</v>
      </c>
      <c r="R24" s="133"/>
      <c r="S24" s="133"/>
      <c r="T24" s="692">
        <v>42779832</v>
      </c>
      <c r="U24" s="693"/>
      <c r="V24" s="493">
        <v>79.481550843867751</v>
      </c>
    </row>
    <row r="25" spans="1:22" ht="14.25" customHeight="1">
      <c r="A25" s="334"/>
      <c r="B25" s="127"/>
      <c r="C25" s="369" t="s">
        <v>45</v>
      </c>
      <c r="D25" s="369"/>
      <c r="E25" s="370"/>
      <c r="F25" s="133" t="s">
        <v>495</v>
      </c>
      <c r="G25" s="133"/>
      <c r="H25" s="130">
        <v>2446090</v>
      </c>
      <c r="I25" s="323">
        <v>4.5446421272452975</v>
      </c>
      <c r="J25" s="134"/>
      <c r="K25" s="127"/>
      <c r="L25" s="127"/>
      <c r="M25" s="127"/>
      <c r="N25" s="127" t="s">
        <v>520</v>
      </c>
      <c r="O25" s="128"/>
      <c r="P25" s="128"/>
      <c r="Q25" s="592" t="s">
        <v>533</v>
      </c>
      <c r="R25" s="133"/>
      <c r="S25" s="133"/>
      <c r="T25" s="692">
        <v>3726907</v>
      </c>
      <c r="U25" s="693"/>
      <c r="V25" s="493">
        <v>6.9242990063838166</v>
      </c>
    </row>
    <row r="26" spans="1:22" ht="14.25" customHeight="1">
      <c r="A26" s="334"/>
      <c r="B26" s="127"/>
      <c r="C26" s="369"/>
      <c r="D26" s="369" t="s">
        <v>45</v>
      </c>
      <c r="E26" s="370"/>
      <c r="F26" s="133" t="s">
        <v>496</v>
      </c>
      <c r="G26" s="133"/>
      <c r="H26" s="130">
        <v>5137300</v>
      </c>
      <c r="I26" s="323">
        <v>9.5446978648771168</v>
      </c>
      <c r="J26" s="134"/>
      <c r="K26" s="127" t="s">
        <v>482</v>
      </c>
      <c r="L26" s="127"/>
      <c r="M26" s="127"/>
      <c r="N26" s="127"/>
      <c r="O26" s="128"/>
      <c r="P26" s="128"/>
      <c r="Q26" s="592"/>
      <c r="R26" s="133"/>
      <c r="S26" s="133"/>
      <c r="T26" s="692">
        <v>53823600</v>
      </c>
      <c r="U26" s="693"/>
      <c r="V26" s="493">
        <v>0</v>
      </c>
    </row>
    <row r="27" spans="1:22" ht="14.25" customHeight="1">
      <c r="A27" s="334"/>
      <c r="B27" s="127"/>
      <c r="C27" s="369"/>
      <c r="D27" s="369" t="s">
        <v>476</v>
      </c>
      <c r="E27" s="370"/>
      <c r="F27" s="133" t="s">
        <v>497</v>
      </c>
      <c r="G27" s="133"/>
      <c r="H27" s="130">
        <v>-2691210</v>
      </c>
      <c r="I27" s="323">
        <v>-5.0000557376318202</v>
      </c>
      <c r="J27" s="134"/>
      <c r="K27" s="127"/>
      <c r="L27" s="127"/>
      <c r="M27" s="127"/>
      <c r="N27" s="127"/>
      <c r="O27" s="128"/>
      <c r="P27" s="128"/>
      <c r="Q27" s="592"/>
      <c r="R27" s="133"/>
      <c r="S27" s="133"/>
      <c r="T27" s="692">
        <v>0</v>
      </c>
      <c r="U27" s="693"/>
      <c r="V27" s="493">
        <v>0</v>
      </c>
    </row>
    <row r="28" spans="1:22" ht="14.25">
      <c r="A28" s="334"/>
      <c r="B28" s="127"/>
      <c r="C28" s="369" t="s">
        <v>477</v>
      </c>
      <c r="D28" s="369"/>
      <c r="E28" s="370"/>
      <c r="F28" s="133" t="s">
        <v>498</v>
      </c>
      <c r="G28" s="133"/>
      <c r="H28" s="130">
        <v>21429066</v>
      </c>
      <c r="I28" s="323">
        <v>39.813513031458321</v>
      </c>
      <c r="J28" s="134"/>
      <c r="K28" s="127"/>
      <c r="L28" s="127"/>
      <c r="M28" s="127"/>
      <c r="N28" s="127"/>
      <c r="O28" s="128"/>
      <c r="P28" s="128"/>
      <c r="Q28" s="131"/>
      <c r="R28" s="133"/>
      <c r="S28" s="133"/>
      <c r="T28" s="692"/>
      <c r="U28" s="693"/>
      <c r="V28" s="493">
        <f>[2]Sheet1!V32</f>
        <v>0</v>
      </c>
    </row>
    <row r="29" spans="1:22" ht="14.25" customHeight="1">
      <c r="A29" s="334"/>
      <c r="B29" s="127"/>
      <c r="C29" s="369"/>
      <c r="D29" s="369" t="s">
        <v>477</v>
      </c>
      <c r="E29" s="370"/>
      <c r="F29" s="133" t="s">
        <v>499</v>
      </c>
      <c r="G29" s="133"/>
      <c r="H29" s="130">
        <v>48369404</v>
      </c>
      <c r="I29" s="323">
        <v>89.866534382687149</v>
      </c>
      <c r="J29" s="134"/>
      <c r="K29" s="127"/>
      <c r="L29" s="127"/>
      <c r="M29" s="127"/>
      <c r="N29" s="127"/>
      <c r="O29" s="128"/>
      <c r="P29" s="128"/>
      <c r="Q29" s="131"/>
      <c r="R29" s="133"/>
      <c r="S29" s="133"/>
      <c r="T29" s="692"/>
      <c r="U29" s="693"/>
      <c r="V29" s="493"/>
    </row>
    <row r="30" spans="1:22" ht="14.25" customHeight="1">
      <c r="A30" s="334"/>
      <c r="B30" s="127"/>
      <c r="C30" s="369"/>
      <c r="D30" s="369" t="s">
        <v>478</v>
      </c>
      <c r="E30" s="370"/>
      <c r="F30" s="133" t="s">
        <v>500</v>
      </c>
      <c r="G30" s="133"/>
      <c r="H30" s="130">
        <v>-26940338</v>
      </c>
      <c r="I30" s="323">
        <v>-50.053021351228828</v>
      </c>
      <c r="J30" s="134"/>
      <c r="K30" s="127"/>
      <c r="L30" s="127"/>
      <c r="M30" s="127"/>
      <c r="N30" s="127"/>
      <c r="O30" s="128"/>
      <c r="P30" s="128"/>
      <c r="Q30" s="131"/>
      <c r="R30" s="133"/>
      <c r="S30" s="133"/>
      <c r="T30" s="692"/>
      <c r="U30" s="693"/>
      <c r="V30" s="493"/>
    </row>
    <row r="31" spans="1:22" ht="14.25">
      <c r="A31" s="334"/>
      <c r="B31" s="127"/>
      <c r="C31" s="127" t="s">
        <v>47</v>
      </c>
      <c r="D31" s="127"/>
      <c r="E31" s="128"/>
      <c r="F31" s="133" t="s">
        <v>501</v>
      </c>
      <c r="G31" s="133"/>
      <c r="H31" s="130">
        <v>2263970</v>
      </c>
      <c r="I31" s="323">
        <v>4.2062775436797244</v>
      </c>
      <c r="J31" s="134"/>
      <c r="K31" s="127"/>
      <c r="L31" s="127"/>
      <c r="M31" s="127"/>
      <c r="N31" s="127"/>
      <c r="O31" s="128"/>
      <c r="P31" s="128"/>
      <c r="Q31" s="131"/>
      <c r="R31" s="133"/>
      <c r="S31" s="133"/>
      <c r="T31" s="692"/>
      <c r="U31" s="693"/>
      <c r="V31" s="493"/>
    </row>
    <row r="32" spans="1:22" ht="15" customHeight="1">
      <c r="A32" s="126"/>
      <c r="B32" s="127"/>
      <c r="C32" s="127"/>
      <c r="D32" s="127" t="s">
        <v>47</v>
      </c>
      <c r="E32" s="128"/>
      <c r="F32" s="129" t="s">
        <v>502</v>
      </c>
      <c r="G32" s="129"/>
      <c r="H32" s="130">
        <v>6946466</v>
      </c>
      <c r="I32" s="323">
        <v>12.90598547848899</v>
      </c>
      <c r="J32" s="134"/>
      <c r="K32" s="132"/>
      <c r="L32" s="127"/>
      <c r="M32" s="127"/>
      <c r="N32" s="127"/>
      <c r="O32" s="128"/>
      <c r="P32" s="128"/>
      <c r="Q32" s="131"/>
      <c r="R32" s="133"/>
      <c r="S32" s="133"/>
      <c r="T32" s="692"/>
      <c r="U32" s="693"/>
      <c r="V32" s="493"/>
    </row>
    <row r="33" spans="1:22" ht="15">
      <c r="A33" s="126"/>
      <c r="B33" s="127"/>
      <c r="C33" s="127"/>
      <c r="D33" s="127" t="s">
        <v>479</v>
      </c>
      <c r="E33" s="128"/>
      <c r="F33" s="129" t="s">
        <v>503</v>
      </c>
      <c r="G33" s="129"/>
      <c r="H33" s="130">
        <v>-4682496</v>
      </c>
      <c r="I33" s="323">
        <v>-8.6997079348092665</v>
      </c>
      <c r="J33" s="134"/>
      <c r="K33" s="132"/>
      <c r="L33" s="127"/>
      <c r="M33" s="127"/>
      <c r="N33" s="127"/>
      <c r="O33" s="128"/>
      <c r="P33" s="128"/>
      <c r="Q33" s="131"/>
      <c r="R33" s="133"/>
      <c r="S33" s="133"/>
      <c r="T33" s="692"/>
      <c r="U33" s="693"/>
      <c r="V33" s="493"/>
    </row>
    <row r="34" spans="1:22" ht="15" customHeight="1">
      <c r="A34" s="126"/>
      <c r="B34" s="127"/>
      <c r="C34" s="127" t="s">
        <v>48</v>
      </c>
      <c r="D34" s="127"/>
      <c r="E34" s="128"/>
      <c r="F34" s="129" t="s">
        <v>504</v>
      </c>
      <c r="G34" s="129"/>
      <c r="H34" s="130">
        <v>412255</v>
      </c>
      <c r="I34" s="323">
        <v>0.76593724685825548</v>
      </c>
      <c r="J34" s="134"/>
      <c r="K34" s="132"/>
      <c r="L34" s="127"/>
      <c r="M34" s="127"/>
      <c r="N34" s="127"/>
      <c r="O34" s="128"/>
      <c r="P34" s="128"/>
      <c r="Q34" s="131"/>
      <c r="R34" s="133"/>
      <c r="S34" s="133"/>
      <c r="T34" s="692"/>
      <c r="U34" s="693"/>
      <c r="V34" s="493"/>
    </row>
    <row r="35" spans="1:22" ht="15" customHeight="1">
      <c r="A35" s="126"/>
      <c r="B35" s="127"/>
      <c r="C35" s="127"/>
      <c r="D35" s="127" t="s">
        <v>48</v>
      </c>
      <c r="E35" s="128"/>
      <c r="F35" s="129" t="s">
        <v>505</v>
      </c>
      <c r="G35" s="129"/>
      <c r="H35" s="130">
        <v>946500</v>
      </c>
      <c r="I35" s="323">
        <v>1.7585222839052015</v>
      </c>
      <c r="J35" s="134"/>
      <c r="K35" s="132"/>
      <c r="L35" s="127"/>
      <c r="M35" s="127"/>
      <c r="N35" s="127"/>
      <c r="O35" s="128"/>
      <c r="P35" s="128"/>
      <c r="Q35" s="131"/>
      <c r="R35" s="133"/>
      <c r="S35" s="133"/>
      <c r="T35" s="694"/>
      <c r="U35" s="695"/>
      <c r="V35" s="493"/>
    </row>
    <row r="36" spans="1:22" ht="15">
      <c r="A36" s="126"/>
      <c r="B36" s="127"/>
      <c r="C36" s="127"/>
      <c r="D36" s="127" t="s">
        <v>480</v>
      </c>
      <c r="E36" s="128"/>
      <c r="F36" s="129" t="s">
        <v>506</v>
      </c>
      <c r="G36" s="129"/>
      <c r="H36" s="130">
        <v>-534245</v>
      </c>
      <c r="I36" s="323">
        <v>-0.99258503704694589</v>
      </c>
      <c r="J36" s="134"/>
      <c r="K36" s="132"/>
      <c r="L36" s="127"/>
      <c r="M36" s="127"/>
      <c r="N36" s="127"/>
      <c r="O36" s="128"/>
      <c r="P36" s="128"/>
      <c r="Q36" s="131"/>
      <c r="R36" s="133"/>
      <c r="S36" s="133"/>
      <c r="T36" s="696"/>
      <c r="U36" s="697"/>
      <c r="V36" s="493"/>
    </row>
    <row r="37" spans="1:22" ht="15" customHeight="1">
      <c r="A37" s="126"/>
      <c r="B37" s="127"/>
      <c r="C37" s="127" t="s">
        <v>200</v>
      </c>
      <c r="D37" s="127"/>
      <c r="E37" s="128"/>
      <c r="F37" s="129" t="s">
        <v>507</v>
      </c>
      <c r="G37" s="129"/>
      <c r="H37" s="130">
        <v>5516611</v>
      </c>
      <c r="I37" s="323">
        <v>10.249427760313319</v>
      </c>
      <c r="J37" s="134"/>
      <c r="K37" s="132"/>
      <c r="L37" s="127"/>
      <c r="M37" s="127"/>
      <c r="N37" s="127"/>
      <c r="O37" s="128"/>
      <c r="P37" s="128"/>
      <c r="Q37" s="131"/>
      <c r="R37" s="133"/>
      <c r="S37" s="133"/>
      <c r="T37" s="687"/>
      <c r="U37" s="688"/>
      <c r="V37" s="493"/>
    </row>
    <row r="38" spans="1:22" ht="15" customHeight="1">
      <c r="A38" s="126"/>
      <c r="B38" s="127"/>
      <c r="C38" s="127"/>
      <c r="D38" s="127" t="s">
        <v>200</v>
      </c>
      <c r="E38" s="128"/>
      <c r="F38" s="129" t="s">
        <v>508</v>
      </c>
      <c r="G38" s="129"/>
      <c r="H38" s="130">
        <v>10313100</v>
      </c>
      <c r="I38" s="323">
        <v>19.160925690589259</v>
      </c>
      <c r="J38" s="134"/>
      <c r="K38" s="132"/>
      <c r="L38" s="127"/>
      <c r="M38" s="127"/>
      <c r="N38" s="127"/>
      <c r="O38" s="128"/>
      <c r="P38" s="128"/>
      <c r="Q38" s="131"/>
      <c r="R38" s="133"/>
      <c r="S38" s="133"/>
      <c r="T38" s="687"/>
      <c r="U38" s="688"/>
      <c r="V38" s="493"/>
    </row>
    <row r="39" spans="1:22" ht="14.25" customHeight="1">
      <c r="A39" s="126"/>
      <c r="B39" s="132"/>
      <c r="C39" s="127"/>
      <c r="D39" s="127" t="s">
        <v>481</v>
      </c>
      <c r="E39" s="128"/>
      <c r="F39" s="133" t="s">
        <v>509</v>
      </c>
      <c r="G39" s="133"/>
      <c r="H39" s="130">
        <v>-4796489</v>
      </c>
      <c r="I39" s="323">
        <v>-8.9114979302759387</v>
      </c>
      <c r="J39" s="134"/>
      <c r="K39" s="132"/>
      <c r="L39" s="132"/>
      <c r="M39" s="127"/>
      <c r="N39" s="127"/>
      <c r="O39" s="128"/>
      <c r="P39" s="128"/>
      <c r="Q39" s="131"/>
      <c r="R39" s="133"/>
      <c r="S39" s="133"/>
      <c r="T39" s="687"/>
      <c r="U39" s="688"/>
      <c r="V39" s="493"/>
    </row>
    <row r="40" spans="1:22" ht="14.25">
      <c r="A40" s="126" t="s">
        <v>482</v>
      </c>
      <c r="B40" s="132"/>
      <c r="C40" s="132"/>
      <c r="D40" s="132"/>
      <c r="E40" s="128"/>
      <c r="F40" s="133"/>
      <c r="G40" s="133"/>
      <c r="H40" s="130">
        <v>53823600</v>
      </c>
      <c r="I40" s="323"/>
      <c r="J40" s="134"/>
      <c r="K40" s="132"/>
      <c r="L40" s="127"/>
      <c r="M40" s="127"/>
      <c r="N40" s="127"/>
      <c r="O40" s="128"/>
      <c r="P40" s="128"/>
      <c r="Q40" s="131"/>
      <c r="R40" s="133"/>
      <c r="S40" s="133"/>
      <c r="T40" s="687"/>
      <c r="U40" s="688"/>
      <c r="V40" s="493"/>
    </row>
    <row r="41" spans="1:22" ht="14.25" customHeight="1">
      <c r="A41" s="135"/>
      <c r="B41" s="136"/>
      <c r="C41" s="136"/>
      <c r="D41" s="136"/>
      <c r="E41" s="137"/>
      <c r="F41" s="138"/>
      <c r="G41" s="138"/>
      <c r="H41" s="139"/>
      <c r="I41" s="324"/>
      <c r="J41" s="138"/>
      <c r="K41" s="136"/>
      <c r="L41" s="136"/>
      <c r="M41" s="136"/>
      <c r="N41" s="136"/>
      <c r="O41" s="137"/>
      <c r="P41" s="137"/>
      <c r="Q41" s="139"/>
      <c r="R41" s="138"/>
      <c r="S41" s="138"/>
      <c r="T41" s="685"/>
      <c r="U41" s="686"/>
      <c r="V41" s="494"/>
    </row>
    <row r="42" spans="1:22" ht="14.25" customHeight="1">
      <c r="A42" s="689" t="s">
        <v>327</v>
      </c>
      <c r="B42" s="689"/>
      <c r="C42" s="689"/>
      <c r="D42" s="689"/>
      <c r="E42" s="689"/>
      <c r="F42" s="689"/>
      <c r="G42" s="690">
        <v>0</v>
      </c>
      <c r="H42" s="690"/>
      <c r="L42" s="691" t="s">
        <v>328</v>
      </c>
      <c r="M42" s="691"/>
      <c r="N42" s="691"/>
      <c r="O42" s="691"/>
      <c r="P42" s="691"/>
      <c r="Q42" s="691"/>
      <c r="R42" s="691"/>
      <c r="S42" s="690">
        <v>0</v>
      </c>
      <c r="T42" s="690"/>
      <c r="U42" s="690"/>
    </row>
    <row r="43" spans="1:22" ht="14.25" customHeight="1">
      <c r="A43" s="684" t="s">
        <v>8</v>
      </c>
      <c r="B43" s="684"/>
      <c r="D43" s="543" t="s">
        <v>464</v>
      </c>
    </row>
    <row r="44" spans="1:22" ht="14.25" customHeight="1"/>
    <row r="45" spans="1:22" ht="14.25" customHeight="1"/>
    <row r="46" spans="1:22" ht="14.25" customHeight="1"/>
  </sheetData>
  <mergeCells count="48">
    <mergeCell ref="T27:U27"/>
    <mergeCell ref="T13:U13"/>
    <mergeCell ref="T14:U14"/>
    <mergeCell ref="T15:U15"/>
    <mergeCell ref="T16:U16"/>
    <mergeCell ref="T22:U22"/>
    <mergeCell ref="T23:U23"/>
    <mergeCell ref="T24:U24"/>
    <mergeCell ref="T25:U25"/>
    <mergeCell ref="T26:U26"/>
    <mergeCell ref="T17:U17"/>
    <mergeCell ref="T18:U18"/>
    <mergeCell ref="T19:U19"/>
    <mergeCell ref="T20:U20"/>
    <mergeCell ref="T21:U21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9:U11"/>
    <mergeCell ref="V9:V11"/>
    <mergeCell ref="T31:U31"/>
    <mergeCell ref="T28:U28"/>
    <mergeCell ref="T29:U29"/>
    <mergeCell ref="T30:U30"/>
    <mergeCell ref="T32:U32"/>
    <mergeCell ref="T33:U33"/>
    <mergeCell ref="T34:U34"/>
    <mergeCell ref="T39:U39"/>
    <mergeCell ref="T35:U35"/>
    <mergeCell ref="T36:U36"/>
    <mergeCell ref="A43:B43"/>
    <mergeCell ref="T41:U41"/>
    <mergeCell ref="T40:U40"/>
    <mergeCell ref="T37:U37"/>
    <mergeCell ref="T38:U38"/>
    <mergeCell ref="A42:F42"/>
    <mergeCell ref="G42:H42"/>
    <mergeCell ref="L42:R42"/>
    <mergeCell ref="S42:U42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M12" sqref="M12:M15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17" t="str">
        <f>封面!$A$4</f>
        <v>彰化縣地方教育發展基金－彰化縣秀水鄉馬興國民小學</v>
      </c>
      <c r="B1" s="718"/>
      <c r="C1" s="718"/>
      <c r="D1" s="718"/>
      <c r="E1" s="718"/>
      <c r="F1" s="718"/>
      <c r="G1" s="718"/>
      <c r="H1" s="718"/>
      <c r="I1" s="718"/>
      <c r="J1" s="718"/>
      <c r="K1" s="718"/>
      <c r="L1" s="718"/>
      <c r="M1" s="719"/>
    </row>
    <row r="2" spans="1:13">
      <c r="A2" s="718"/>
      <c r="B2" s="718"/>
      <c r="C2" s="718"/>
      <c r="D2" s="718"/>
      <c r="E2" s="718"/>
      <c r="F2" s="718"/>
      <c r="G2" s="718"/>
      <c r="H2" s="718"/>
      <c r="I2" s="718"/>
      <c r="J2" s="718"/>
      <c r="K2" s="718"/>
      <c r="L2" s="718"/>
      <c r="M2" s="719"/>
    </row>
    <row r="3" spans="1:13">
      <c r="M3" s="223"/>
    </row>
    <row r="4" spans="1:13" ht="23.25" customHeight="1">
      <c r="A4" s="720" t="s">
        <v>27</v>
      </c>
      <c r="B4" s="720"/>
      <c r="C4" s="720"/>
      <c r="D4" s="720"/>
      <c r="E4" s="720"/>
      <c r="F4" s="720"/>
      <c r="G4" s="720"/>
      <c r="H4" s="720"/>
      <c r="I4" s="720"/>
      <c r="J4" s="720"/>
      <c r="K4" s="720"/>
      <c r="L4" s="720"/>
      <c r="M4" s="720"/>
    </row>
    <row r="5" spans="1:13" ht="2.25" customHeight="1">
      <c r="A5" s="720"/>
      <c r="B5" s="720"/>
      <c r="C5" s="720"/>
      <c r="D5" s="720"/>
      <c r="E5" s="720"/>
      <c r="F5" s="720"/>
      <c r="G5" s="720"/>
      <c r="H5" s="720"/>
      <c r="I5" s="720"/>
      <c r="J5" s="720"/>
      <c r="K5" s="720"/>
      <c r="L5" s="720"/>
      <c r="M5" s="720"/>
    </row>
    <row r="6" spans="1:13" ht="16.5">
      <c r="A6" s="721" t="str">
        <f>封面!$E$10&amp;封面!$H$10&amp;封面!$I$10&amp;封面!$J$10&amp;封面!$K$10&amp;封面!L10</f>
        <v>中華民國112年9月份</v>
      </c>
      <c r="B6" s="721"/>
      <c r="C6" s="721"/>
      <c r="D6" s="721"/>
      <c r="E6" s="721"/>
      <c r="F6" s="721"/>
      <c r="G6" s="721"/>
      <c r="H6" s="721"/>
      <c r="I6" s="721"/>
      <c r="J6" s="721"/>
      <c r="K6" s="721"/>
      <c r="L6" s="721"/>
      <c r="M6" s="721"/>
    </row>
    <row r="7" spans="1:13" ht="10.5" customHeight="1"/>
    <row r="8" spans="1:13" ht="16.5">
      <c r="A8" s="659" t="s">
        <v>1</v>
      </c>
      <c r="B8" s="659"/>
      <c r="C8" s="659"/>
      <c r="D8" s="659"/>
      <c r="E8" s="659"/>
      <c r="F8" s="659"/>
      <c r="G8" s="659"/>
      <c r="H8" s="659"/>
      <c r="I8" s="659"/>
      <c r="J8" s="659"/>
      <c r="K8" s="659"/>
      <c r="L8" s="659"/>
      <c r="M8" s="659"/>
    </row>
    <row r="9" spans="1:13" ht="1.5" customHeight="1"/>
    <row r="10" spans="1:13" s="5" customFormat="1" ht="32.25" customHeight="1">
      <c r="A10" s="16"/>
      <c r="B10" s="711" t="s">
        <v>28</v>
      </c>
      <c r="C10" s="712"/>
      <c r="D10" s="713" t="s">
        <v>29</v>
      </c>
      <c r="E10" s="716" t="s">
        <v>30</v>
      </c>
      <c r="F10" s="711"/>
      <c r="G10" s="711"/>
      <c r="H10" s="722" t="s">
        <v>205</v>
      </c>
      <c r="I10" s="723"/>
      <c r="J10" s="723"/>
      <c r="K10" s="723"/>
      <c r="L10" s="723"/>
      <c r="M10" s="222"/>
    </row>
    <row r="11" spans="1:13" s="5" customFormat="1" ht="16.5" hidden="1" customHeight="1">
      <c r="B11" s="724" t="s">
        <v>31</v>
      </c>
      <c r="C11" s="713" t="s">
        <v>32</v>
      </c>
      <c r="D11" s="714"/>
      <c r="E11" s="713" t="s">
        <v>33</v>
      </c>
      <c r="F11" s="713" t="s">
        <v>34</v>
      </c>
      <c r="G11" s="713" t="s">
        <v>35</v>
      </c>
      <c r="H11" s="713" t="s">
        <v>33</v>
      </c>
      <c r="I11" s="713" t="s">
        <v>34</v>
      </c>
      <c r="J11" s="728" t="s">
        <v>197</v>
      </c>
      <c r="K11" s="729"/>
      <c r="L11" s="730"/>
      <c r="M11" s="142"/>
    </row>
    <row r="12" spans="1:13" s="5" customFormat="1" ht="16.5">
      <c r="A12" s="16"/>
      <c r="B12" s="725"/>
      <c r="C12" s="726"/>
      <c r="D12" s="715"/>
      <c r="E12" s="726"/>
      <c r="F12" s="726"/>
      <c r="G12" s="726"/>
      <c r="H12" s="727"/>
      <c r="I12" s="727"/>
      <c r="J12" s="222" t="s">
        <v>198</v>
      </c>
      <c r="K12" s="224"/>
      <c r="L12" s="222" t="s">
        <v>199</v>
      </c>
      <c r="M12" s="222"/>
    </row>
    <row r="13" spans="1:13" ht="39.75" hidden="1" customHeight="1">
      <c r="C13" s="331"/>
      <c r="D13" s="331"/>
      <c r="E13" s="331"/>
      <c r="H13" s="14"/>
      <c r="I13" s="14"/>
      <c r="J13" s="14"/>
      <c r="K13" s="14"/>
      <c r="L13" s="14"/>
      <c r="M13" s="14"/>
    </row>
    <row r="14" spans="1:13" hidden="1">
      <c r="C14" s="331"/>
      <c r="D14" s="331"/>
      <c r="E14" s="331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81"/>
      <c r="D15" s="382" t="s">
        <v>36</v>
      </c>
      <c r="E15" s="383"/>
      <c r="F15" s="270"/>
      <c r="G15" s="271"/>
      <c r="H15" s="272">
        <v>2507062</v>
      </c>
      <c r="I15" s="272">
        <v>2351000</v>
      </c>
      <c r="J15" s="272">
        <v>156062</v>
      </c>
      <c r="K15" s="272"/>
      <c r="L15" s="273">
        <v>6.6381114419396008</v>
      </c>
      <c r="M15" s="140"/>
    </row>
    <row r="16" spans="1:13" ht="12.75" hidden="1" customHeight="1">
      <c r="A16" s="6"/>
      <c r="B16" s="148"/>
      <c r="C16" s="366"/>
      <c r="D16" s="367"/>
      <c r="E16" s="368"/>
      <c r="F16" s="274"/>
      <c r="G16" s="274"/>
      <c r="H16" s="270"/>
      <c r="I16" s="270"/>
      <c r="J16" s="270"/>
      <c r="K16" s="270"/>
      <c r="L16" s="270"/>
      <c r="M16" s="141"/>
    </row>
    <row r="17" spans="1:13" ht="21" customHeight="1">
      <c r="A17" s="8"/>
      <c r="B17" s="150"/>
      <c r="C17" s="384"/>
      <c r="D17" s="385" t="s">
        <v>37</v>
      </c>
      <c r="E17" s="383"/>
      <c r="F17" s="270"/>
      <c r="G17" s="271"/>
      <c r="H17" s="272">
        <v>29292148</v>
      </c>
      <c r="I17" s="272">
        <v>31115000</v>
      </c>
      <c r="J17" s="272">
        <v>-1822852</v>
      </c>
      <c r="K17" s="272"/>
      <c r="L17" s="273">
        <v>-5.8584348385023297</v>
      </c>
      <c r="M17" s="140"/>
    </row>
    <row r="18" spans="1:13" ht="12.75" hidden="1" customHeight="1">
      <c r="B18" s="149"/>
      <c r="C18" s="367"/>
      <c r="D18" s="386"/>
      <c r="E18" s="368"/>
      <c r="F18" s="274"/>
      <c r="G18" s="274"/>
      <c r="H18" s="270"/>
      <c r="I18" s="270"/>
      <c r="J18" s="270"/>
      <c r="K18" s="270"/>
      <c r="L18" s="270"/>
      <c r="M18" s="141"/>
    </row>
    <row r="19" spans="1:13" ht="12.75" hidden="1" customHeight="1">
      <c r="B19" s="149"/>
      <c r="C19" s="367"/>
      <c r="D19" s="367"/>
      <c r="E19" s="368"/>
      <c r="F19" s="274"/>
      <c r="G19" s="274"/>
      <c r="H19" s="270"/>
      <c r="I19" s="270"/>
      <c r="J19" s="270"/>
      <c r="K19" s="270"/>
      <c r="L19" s="270"/>
      <c r="M19" s="141"/>
    </row>
    <row r="20" spans="1:13" ht="21" hidden="1" customHeight="1">
      <c r="A20" s="12"/>
      <c r="B20" s="17" t="s">
        <v>23</v>
      </c>
      <c r="C20" s="381"/>
      <c r="D20" s="382" t="s">
        <v>36</v>
      </c>
      <c r="E20" s="383"/>
      <c r="F20" s="270"/>
      <c r="G20" s="275"/>
      <c r="H20" s="272"/>
      <c r="I20" s="272"/>
      <c r="J20" s="272"/>
      <c r="K20" s="272"/>
      <c r="L20" s="273"/>
      <c r="M20" s="140"/>
    </row>
    <row r="21" spans="1:13" ht="12.75" hidden="1" customHeight="1">
      <c r="A21" s="6"/>
      <c r="B21" s="148"/>
      <c r="C21" s="366"/>
      <c r="D21" s="367"/>
      <c r="E21" s="368"/>
      <c r="F21" s="274"/>
      <c r="G21" s="274"/>
      <c r="H21" s="270"/>
      <c r="I21" s="270"/>
      <c r="J21" s="270"/>
      <c r="K21" s="270"/>
      <c r="L21" s="270"/>
      <c r="M21" s="141"/>
    </row>
    <row r="22" spans="1:13" ht="21" hidden="1" customHeight="1">
      <c r="A22" s="8"/>
      <c r="B22" s="150"/>
      <c r="C22" s="384"/>
      <c r="D22" s="385" t="s">
        <v>37</v>
      </c>
      <c r="E22" s="383"/>
      <c r="F22" s="270"/>
      <c r="G22" s="275"/>
      <c r="H22" s="272"/>
      <c r="I22" s="272"/>
      <c r="J22" s="272"/>
      <c r="K22" s="272"/>
      <c r="L22" s="273"/>
      <c r="M22" s="140"/>
    </row>
    <row r="23" spans="1:13" ht="12.75" hidden="1" customHeight="1">
      <c r="B23" s="149"/>
      <c r="C23" s="149"/>
      <c r="D23" s="151"/>
      <c r="E23" s="274"/>
      <c r="F23" s="274"/>
      <c r="G23" s="274"/>
      <c r="H23" s="270"/>
      <c r="I23" s="270"/>
      <c r="J23" s="270"/>
      <c r="K23" s="270"/>
      <c r="L23" s="270"/>
      <c r="M23" s="141"/>
    </row>
    <row r="24" spans="1:13" ht="12.75" hidden="1" customHeight="1">
      <c r="B24" s="149"/>
      <c r="C24" s="149"/>
      <c r="D24" s="149"/>
      <c r="E24" s="274"/>
      <c r="F24" s="274"/>
      <c r="G24" s="274"/>
      <c r="H24" s="270"/>
      <c r="I24" s="270"/>
      <c r="J24" s="270"/>
      <c r="K24" s="270"/>
      <c r="L24" s="270"/>
      <c r="M24" s="141"/>
    </row>
    <row r="25" spans="1:13" ht="12.75" hidden="1" customHeight="1">
      <c r="B25" s="153"/>
      <c r="C25" s="154"/>
      <c r="D25" s="155"/>
      <c r="E25" s="152"/>
      <c r="F25" s="152"/>
      <c r="G25" s="152"/>
      <c r="H25" s="116"/>
      <c r="I25" s="116"/>
      <c r="J25" s="225"/>
      <c r="K25" s="225"/>
      <c r="L25" s="117"/>
      <c r="M25" s="118"/>
    </row>
    <row r="26" spans="1:13" ht="17.25" hidden="1" customHeight="1">
      <c r="B26" s="154"/>
      <c r="C26" s="154"/>
      <c r="D26" s="151"/>
      <c r="E26" s="156"/>
      <c r="F26" s="156"/>
      <c r="G26" s="156"/>
      <c r="H26" s="156"/>
      <c r="I26" s="156"/>
      <c r="J26" s="156"/>
      <c r="K26" s="156"/>
      <c r="L26" s="156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M12" sqref="M12:M15"/>
    </sheetView>
  </sheetViews>
  <sheetFormatPr defaultColWidth="9.140625" defaultRowHeight="15.75"/>
  <cols>
    <col min="1" max="1" width="25.42578125" style="239" customWidth="1"/>
    <col min="2" max="7" width="17" style="59" customWidth="1"/>
    <col min="8" max="16384" width="9.140625" style="59"/>
  </cols>
  <sheetData>
    <row r="1" spans="1:11" s="82" customFormat="1" ht="19.5">
      <c r="A1" s="732" t="str">
        <f>封面!$A$4</f>
        <v>彰化縣地方教育發展基金－彰化縣秀水鄉馬興國民小學</v>
      </c>
      <c r="B1" s="732"/>
      <c r="C1" s="732"/>
      <c r="D1" s="732"/>
      <c r="E1" s="732"/>
      <c r="F1" s="732"/>
      <c r="G1" s="733"/>
      <c r="J1" s="234"/>
      <c r="K1" s="208"/>
    </row>
    <row r="2" spans="1:11" s="82" customFormat="1" ht="19.5" hidden="1">
      <c r="A2" s="237"/>
      <c r="B2" s="230"/>
      <c r="C2" s="230"/>
      <c r="D2" s="233"/>
      <c r="E2" s="233"/>
      <c r="F2" s="233"/>
      <c r="J2" s="234"/>
      <c r="K2" s="208"/>
    </row>
    <row r="3" spans="1:11" s="82" customFormat="1" ht="14.25" hidden="1" customHeight="1">
      <c r="A3" s="238"/>
      <c r="J3" s="234"/>
      <c r="K3" s="208"/>
    </row>
    <row r="4" spans="1:11" s="82" customFormat="1" ht="21">
      <c r="A4" s="736" t="s">
        <v>270</v>
      </c>
      <c r="B4" s="736"/>
      <c r="C4" s="736"/>
      <c r="D4" s="736"/>
      <c r="E4" s="736"/>
      <c r="F4" s="736"/>
      <c r="G4" s="733"/>
      <c r="J4" s="234"/>
      <c r="K4" s="208"/>
    </row>
    <row r="5" spans="1:11" s="82" customFormat="1" ht="6.75" customHeight="1">
      <c r="A5" s="238"/>
      <c r="J5" s="234"/>
      <c r="K5" s="208"/>
    </row>
    <row r="6" spans="1:11" s="82" customFormat="1" ht="16.5">
      <c r="A6" s="735" t="str">
        <f>封面!$E$10&amp;封面!$H$10&amp;封面!$I$10&amp;封面!$J$10&amp;封面!$K$10&amp;封面!L10</f>
        <v>中華民國112年9月份</v>
      </c>
      <c r="B6" s="735"/>
      <c r="C6" s="735"/>
      <c r="D6" s="735"/>
      <c r="E6" s="735"/>
      <c r="F6" s="735"/>
      <c r="G6" s="733"/>
      <c r="J6" s="234"/>
      <c r="K6" s="208"/>
    </row>
    <row r="7" spans="1:11" s="82" customFormat="1" ht="14.25" customHeight="1">
      <c r="A7" s="659" t="s">
        <v>39</v>
      </c>
      <c r="B7" s="659"/>
      <c r="C7" s="659"/>
      <c r="D7" s="659"/>
      <c r="E7" s="659"/>
      <c r="F7" s="659"/>
      <c r="G7" s="733"/>
      <c r="J7" s="234"/>
      <c r="K7" s="208"/>
    </row>
    <row r="8" spans="1:11" s="235" customFormat="1" ht="28.5" customHeight="1">
      <c r="A8" s="653" t="s">
        <v>215</v>
      </c>
      <c r="B8" s="653" t="s">
        <v>271</v>
      </c>
      <c r="C8" s="653" t="s">
        <v>272</v>
      </c>
      <c r="D8" s="737" t="s">
        <v>275</v>
      </c>
      <c r="E8" s="738"/>
      <c r="F8" s="661" t="s">
        <v>276</v>
      </c>
      <c r="G8" s="672" t="s">
        <v>277</v>
      </c>
    </row>
    <row r="9" spans="1:11" s="236" customFormat="1" ht="28.5" customHeight="1">
      <c r="A9" s="734"/>
      <c r="B9" s="734"/>
      <c r="C9" s="734"/>
      <c r="D9" s="314" t="s">
        <v>273</v>
      </c>
      <c r="E9" s="314" t="s">
        <v>274</v>
      </c>
      <c r="F9" s="731"/>
      <c r="G9" s="688"/>
    </row>
    <row r="10" spans="1:11">
      <c r="A10" s="240" t="s">
        <v>207</v>
      </c>
      <c r="B10" s="276">
        <f t="shared" ref="B10:G10" si="0">SUM(B12:B40)</f>
        <v>78246642</v>
      </c>
      <c r="C10" s="276">
        <f t="shared" si="0"/>
        <v>37208373</v>
      </c>
      <c r="D10" s="315">
        <f t="shared" si="0"/>
        <v>4602409</v>
      </c>
      <c r="E10" s="315">
        <f t="shared" si="0"/>
        <v>108923</v>
      </c>
      <c r="F10" s="315">
        <f t="shared" si="0"/>
        <v>2436405</v>
      </c>
      <c r="G10" s="315">
        <f t="shared" si="0"/>
        <v>43095350</v>
      </c>
    </row>
    <row r="11" spans="1:11" ht="15.75" hidden="1" customHeight="1">
      <c r="A11" s="241"/>
      <c r="B11" s="277"/>
      <c r="C11" s="277"/>
      <c r="D11" s="316"/>
      <c r="E11" s="316"/>
      <c r="F11" s="316"/>
      <c r="G11" s="316"/>
    </row>
    <row r="12" spans="1:11">
      <c r="A12" s="242" t="s">
        <v>208</v>
      </c>
      <c r="B12" s="277"/>
      <c r="C12" s="277"/>
      <c r="D12" s="316"/>
      <c r="E12" s="316"/>
      <c r="F12" s="316"/>
      <c r="G12" s="316">
        <f>B12-C12+D12-E12-F12</f>
        <v>0</v>
      </c>
    </row>
    <row r="13" spans="1:11" ht="15.75" hidden="1" customHeight="1">
      <c r="A13" s="242"/>
      <c r="B13" s="277"/>
      <c r="C13" s="365"/>
      <c r="D13" s="424"/>
      <c r="E13" s="424"/>
      <c r="F13" s="316"/>
      <c r="G13" s="316">
        <f t="shared" ref="G13:G41" si="1">B13-C13+D13-E13-F13</f>
        <v>0</v>
      </c>
    </row>
    <row r="14" spans="1:11">
      <c r="A14" s="242" t="s">
        <v>209</v>
      </c>
      <c r="B14" s="277">
        <v>11027358</v>
      </c>
      <c r="C14" s="425"/>
      <c r="D14" s="424"/>
      <c r="E14" s="424"/>
      <c r="F14" s="316"/>
      <c r="G14" s="316">
        <f t="shared" si="1"/>
        <v>11027358</v>
      </c>
    </row>
    <row r="15" spans="1:11" ht="15.75" hidden="1" customHeight="1">
      <c r="A15" s="242"/>
      <c r="B15" s="277"/>
      <c r="C15" s="425"/>
      <c r="D15" s="424"/>
      <c r="E15" s="424"/>
      <c r="F15" s="316"/>
      <c r="G15" s="316">
        <f t="shared" si="1"/>
        <v>0</v>
      </c>
    </row>
    <row r="16" spans="1:11">
      <c r="A16" s="242" t="s">
        <v>210</v>
      </c>
      <c r="B16" s="427">
        <v>5137300</v>
      </c>
      <c r="C16" s="428">
        <v>2395983</v>
      </c>
      <c r="D16" s="426"/>
      <c r="E16" s="424"/>
      <c r="F16" s="428">
        <v>295227</v>
      </c>
      <c r="G16" s="316">
        <f t="shared" si="1"/>
        <v>2446090</v>
      </c>
    </row>
    <row r="17" spans="1:7" ht="15.75" hidden="1" customHeight="1">
      <c r="A17" s="242"/>
      <c r="B17" s="425"/>
      <c r="C17" s="425"/>
      <c r="D17" s="426"/>
      <c r="E17" s="424"/>
      <c r="F17" s="428"/>
      <c r="G17" s="316">
        <f t="shared" si="1"/>
        <v>0</v>
      </c>
    </row>
    <row r="18" spans="1:7">
      <c r="A18" s="242" t="s">
        <v>211</v>
      </c>
      <c r="B18" s="427">
        <v>48434327</v>
      </c>
      <c r="C18" s="428">
        <v>26141584</v>
      </c>
      <c r="D18" s="424"/>
      <c r="E18" s="424">
        <v>64923</v>
      </c>
      <c r="F18" s="428">
        <v>798754</v>
      </c>
      <c r="G18" s="316">
        <f t="shared" si="1"/>
        <v>21429066</v>
      </c>
    </row>
    <row r="19" spans="1:7" ht="15.75" hidden="1" customHeight="1">
      <c r="A19" s="242"/>
      <c r="B19" s="425"/>
      <c r="C19" s="425"/>
      <c r="D19" s="426"/>
      <c r="E19" s="424"/>
      <c r="F19" s="428"/>
      <c r="G19" s="316">
        <f t="shared" si="1"/>
        <v>0</v>
      </c>
    </row>
    <row r="20" spans="1:7">
      <c r="A20" s="242" t="s">
        <v>212</v>
      </c>
      <c r="B20" s="427">
        <v>5817566</v>
      </c>
      <c r="C20" s="428">
        <v>4243965</v>
      </c>
      <c r="D20" s="428">
        <v>1172900</v>
      </c>
      <c r="E20" s="424">
        <v>44000</v>
      </c>
      <c r="F20" s="428">
        <v>438531</v>
      </c>
      <c r="G20" s="316">
        <f t="shared" si="1"/>
        <v>2263970</v>
      </c>
    </row>
    <row r="21" spans="1:7" ht="15.75" hidden="1" customHeight="1">
      <c r="A21" s="242"/>
      <c r="B21" s="425"/>
      <c r="C21" s="425"/>
      <c r="D21" s="426"/>
      <c r="E21" s="424"/>
      <c r="F21" s="428"/>
      <c r="G21" s="316">
        <f t="shared" si="1"/>
        <v>0</v>
      </c>
    </row>
    <row r="22" spans="1:7">
      <c r="A22" s="242" t="s">
        <v>213</v>
      </c>
      <c r="B22" s="427">
        <v>634500</v>
      </c>
      <c r="C22" s="428">
        <v>497503</v>
      </c>
      <c r="D22" s="428">
        <v>312000</v>
      </c>
      <c r="E22" s="424"/>
      <c r="F22" s="428">
        <v>36742</v>
      </c>
      <c r="G22" s="316">
        <f t="shared" si="1"/>
        <v>412255</v>
      </c>
    </row>
    <row r="23" spans="1:7" ht="15.75" hidden="1" customHeight="1">
      <c r="A23" s="242"/>
      <c r="B23" s="425"/>
      <c r="C23" s="425"/>
      <c r="D23" s="426"/>
      <c r="E23" s="316"/>
      <c r="F23" s="428"/>
      <c r="G23" s="316">
        <f t="shared" si="1"/>
        <v>0</v>
      </c>
    </row>
    <row r="24" spans="1:7">
      <c r="A24" s="242" t="s">
        <v>214</v>
      </c>
      <c r="B24" s="427">
        <v>7195591</v>
      </c>
      <c r="C24" s="428">
        <v>3929338</v>
      </c>
      <c r="D24" s="428">
        <v>3117509</v>
      </c>
      <c r="E24" s="316"/>
      <c r="F24" s="428">
        <v>867151</v>
      </c>
      <c r="G24" s="316">
        <f t="shared" si="1"/>
        <v>5516611</v>
      </c>
    </row>
    <row r="25" spans="1:7" ht="15.75" hidden="1" customHeight="1">
      <c r="A25" s="242"/>
      <c r="B25" s="277"/>
      <c r="C25" s="277"/>
      <c r="D25" s="316"/>
      <c r="E25" s="316"/>
      <c r="F25" s="316"/>
      <c r="G25" s="316">
        <f t="shared" si="1"/>
        <v>0</v>
      </c>
    </row>
    <row r="26" spans="1:7">
      <c r="A26" s="242" t="s">
        <v>457</v>
      </c>
      <c r="B26" s="277"/>
      <c r="C26" s="277"/>
      <c r="D26" s="316"/>
      <c r="E26" s="316"/>
      <c r="F26" s="316"/>
      <c r="G26" s="316">
        <f t="shared" si="1"/>
        <v>0</v>
      </c>
    </row>
    <row r="27" spans="1:7" ht="15.75" hidden="1" customHeight="1">
      <c r="A27" s="242"/>
      <c r="B27" s="277"/>
      <c r="C27" s="277"/>
      <c r="D27" s="316"/>
      <c r="E27" s="316"/>
      <c r="F27" s="316"/>
      <c r="G27" s="316">
        <f t="shared" si="1"/>
        <v>0</v>
      </c>
    </row>
    <row r="28" spans="1:7">
      <c r="A28" s="242" t="s">
        <v>458</v>
      </c>
      <c r="B28" s="277"/>
      <c r="C28" s="277"/>
      <c r="D28" s="316"/>
      <c r="E28" s="316"/>
      <c r="F28" s="316"/>
      <c r="G28" s="316">
        <f t="shared" si="1"/>
        <v>0</v>
      </c>
    </row>
    <row r="29" spans="1:7" ht="15.75" hidden="1" customHeight="1">
      <c r="A29" s="242"/>
      <c r="B29" s="277"/>
      <c r="C29" s="277"/>
      <c r="D29" s="316"/>
      <c r="E29" s="316"/>
      <c r="F29" s="316"/>
      <c r="G29" s="316">
        <f t="shared" si="1"/>
        <v>0</v>
      </c>
    </row>
    <row r="30" spans="1:7">
      <c r="A30" s="242" t="s">
        <v>459</v>
      </c>
      <c r="B30" s="277"/>
      <c r="C30" s="277"/>
      <c r="D30" s="316"/>
      <c r="E30" s="316"/>
      <c r="F30" s="316"/>
      <c r="G30" s="316">
        <f t="shared" si="1"/>
        <v>0</v>
      </c>
    </row>
    <row r="31" spans="1:7" hidden="1">
      <c r="A31" s="242"/>
      <c r="B31" s="277"/>
      <c r="C31" s="277"/>
      <c r="D31" s="316"/>
      <c r="E31" s="316"/>
      <c r="F31" s="316"/>
      <c r="G31" s="316"/>
    </row>
    <row r="32" spans="1:7">
      <c r="A32" s="242" t="s">
        <v>49</v>
      </c>
      <c r="B32" s="277"/>
      <c r="C32" s="277"/>
      <c r="D32" s="316"/>
      <c r="E32" s="316"/>
      <c r="F32" s="316"/>
      <c r="G32" s="316"/>
    </row>
    <row r="33" spans="1:7" hidden="1">
      <c r="A33" s="242"/>
      <c r="B33" s="277"/>
      <c r="C33" s="277"/>
      <c r="D33" s="316"/>
      <c r="E33" s="316"/>
      <c r="F33" s="316"/>
      <c r="G33" s="316"/>
    </row>
    <row r="34" spans="1:7">
      <c r="A34" s="242" t="s">
        <v>202</v>
      </c>
      <c r="B34" s="277"/>
      <c r="C34" s="277"/>
      <c r="D34" s="316"/>
      <c r="E34" s="316"/>
      <c r="F34" s="316"/>
      <c r="G34" s="316"/>
    </row>
    <row r="35" spans="1:7">
      <c r="A35" s="242" t="s">
        <v>50</v>
      </c>
      <c r="B35" s="277"/>
      <c r="C35" s="277"/>
      <c r="D35" s="316"/>
      <c r="E35" s="316"/>
      <c r="F35" s="316"/>
      <c r="G35" s="316"/>
    </row>
    <row r="36" spans="1:7" hidden="1">
      <c r="A36" s="242"/>
      <c r="B36" s="277"/>
      <c r="C36" s="277"/>
      <c r="D36" s="316"/>
      <c r="E36" s="316"/>
      <c r="F36" s="316"/>
      <c r="G36" s="316"/>
    </row>
    <row r="37" spans="1:7">
      <c r="A37" s="242" t="s">
        <v>460</v>
      </c>
      <c r="B37" s="277"/>
      <c r="C37" s="277"/>
      <c r="D37" s="316"/>
      <c r="E37" s="316"/>
      <c r="F37" s="316"/>
      <c r="G37" s="316"/>
    </row>
    <row r="38" spans="1:7" hidden="1">
      <c r="A38" s="242"/>
      <c r="B38" s="277"/>
      <c r="C38" s="277"/>
      <c r="D38" s="316"/>
      <c r="E38" s="316"/>
      <c r="F38" s="316"/>
      <c r="G38" s="316"/>
    </row>
    <row r="39" spans="1:7">
      <c r="A39" s="242" t="s">
        <v>461</v>
      </c>
      <c r="B39" s="277"/>
      <c r="C39" s="277"/>
      <c r="D39" s="316"/>
      <c r="E39" s="316"/>
      <c r="F39" s="316"/>
      <c r="G39" s="316"/>
    </row>
    <row r="40" spans="1:7" hidden="1">
      <c r="A40" s="242"/>
      <c r="B40" s="277"/>
      <c r="C40" s="277"/>
      <c r="D40" s="316"/>
      <c r="E40" s="316"/>
      <c r="F40" s="316"/>
      <c r="G40" s="316">
        <f t="shared" si="1"/>
        <v>0</v>
      </c>
    </row>
    <row r="41" spans="1:7">
      <c r="A41" s="243" t="s">
        <v>203</v>
      </c>
      <c r="B41" s="278"/>
      <c r="C41" s="278"/>
      <c r="D41" s="317"/>
      <c r="E41" s="317"/>
      <c r="F41" s="317"/>
      <c r="G41" s="317">
        <f t="shared" si="1"/>
        <v>0</v>
      </c>
    </row>
    <row r="42" spans="1:7">
      <c r="G42" s="269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2023-10-02T03:52:13Z</cp:lastPrinted>
  <dcterms:created xsi:type="dcterms:W3CDTF">2016-11-01T23:05:09Z</dcterms:created>
  <dcterms:modified xsi:type="dcterms:W3CDTF">2023-11-30T03:43:23Z</dcterms:modified>
</cp:coreProperties>
</file>