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BE808C67-B890-4FDE-A73F-0FB1644D7ED1}" xr6:coauthVersionLast="36" xr6:coauthVersionMax="36" xr10:uidLastSave="{00000000-0000-0000-0000-000000000000}"/>
  <bookViews>
    <workbookView xWindow="0" yWindow="0" windowWidth="28800" windowHeight="11400" tabRatio="800" firstSheet="2" activeTab="12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落後原因!$A$1:$P$21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D30" i="25" l="1"/>
  <c r="S89" i="26"/>
  <c r="E28" i="25" l="1"/>
  <c r="D28" i="25"/>
  <c r="D27" i="25"/>
  <c r="D25" i="25"/>
  <c r="S117" i="26"/>
  <c r="T117" i="26"/>
  <c r="S94" i="26"/>
  <c r="S14" i="26"/>
  <c r="B16" i="11"/>
  <c r="N36" i="23"/>
  <c r="N35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13" i="1"/>
  <c r="V26" i="1" l="1"/>
  <c r="V27" i="1"/>
  <c r="V28" i="1"/>
  <c r="T27" i="1"/>
  <c r="T28" i="1"/>
  <c r="G18" i="21" l="1"/>
  <c r="G19" i="21"/>
  <c r="G14" i="21"/>
  <c r="G15" i="21"/>
  <c r="G16" i="21"/>
  <c r="G17" i="21"/>
  <c r="G20" i="21"/>
  <c r="G21" i="21"/>
  <c r="G22" i="21"/>
  <c r="G23" i="21"/>
  <c r="G24" i="21"/>
  <c r="O9" i="14" l="1"/>
  <c r="O10" i="14" s="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<sst xmlns="http://schemas.openxmlformats.org/spreadsheetml/2006/main" count="990" uniqueCount="781">
  <si>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</si>
  <si>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</si>
  <si>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</si>
  <si>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</si>
  <si>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</si>
  <si>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</si>
  <si>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</si>
  <si>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</si>
  <si>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</si>
  <si>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</si>
  <si>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</si>
  <si>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</si>
  <si>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</si>
  <si>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</si>
  <si>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</si>
  <si>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</si>
  <si>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</si>
  <si>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</si>
  <si>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</si>
  <si>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</si>
  <si>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</si>
  <si>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</si>
  <si>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</si>
  <si>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</si>
  <si>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</si>
  <si>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</si>
  <si>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</si>
  <si>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</si>
  <si>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</si>
  <si>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</si>
  <si>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</si>
  <si>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</si>
  <si>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</si>
  <si>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</si>
  <si>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</si>
  <si>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</si>
  <si>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</si>
  <si>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</si>
  <si>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</si>
  <si>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</si>
  <si>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</si>
  <si>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</si>
  <si>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</si>
  <si>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</si>
  <si>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</si>
  <si>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</si>
  <si>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</si>
  <si>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</si>
  <si>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</si>
  <si>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</si>
  <si>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</si>
  <si>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</si>
  <si>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</si>
  <si>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</si>
  <si>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</si>
  <si>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</si>
  <si>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</si>
  <si>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</si>
  <si>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</si>
  <si>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</si>
  <si>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</si>
  <si>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</si>
  <si>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</si>
  <si>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</si>
  <si>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</si>
  <si>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</si>
  <si>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</si>
  <si>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</si>
  <si>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</si>
  <si>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</si>
  <si>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</si>
  <si>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</si>
  <si>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</si>
  <si>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</si>
  <si>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</si>
  <si>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</si>
  <si>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</si>
  <si>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</si>
  <si>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</si>
  <si>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</si>
  <si>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</si>
  <si>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</si>
  <si>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</si>
  <si>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</si>
  <si>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</si>
  <si>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</si>
  <si>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</si>
  <si>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</si>
  <si>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</si>
  <si>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</si>
  <si>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</si>
  <si>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</si>
  <si>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</si>
  <si>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</si>
  <si>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</si>
  <si>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</si>
  <si>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</si>
  <si>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</si>
  <si>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</si>
  <si>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</si>
  <si>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</si>
  <si>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</si>
  <si>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</si>
  <si>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</si>
  <si>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</si>
  <si>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</si>
  <si>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</si>
  <si>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</si>
  <si>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</si>
  <si>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</si>
  <si>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</si>
  <si>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</si>
  <si>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</si>
  <si>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</si>
  <si>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</si>
  <si>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</si>
  <si>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</si>
  <si>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</si>
  <si>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</si>
  <si>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</si>
  <si>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</si>
  <si>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</si>
  <si>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</si>
  <si>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</si>
  <si>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</si>
  <si>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</si>
  <si>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</si>
  <si>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</si>
  <si>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</si>
  <si>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</si>
  <si>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</si>
  <si>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</si>
  <si>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</si>
  <si>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</si>
  <si>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</si>
  <si>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</si>
  <si>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</si>
  <si>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</si>
  <si>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</si>
  <si>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</si>
  <si>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</si>
  <si>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</si>
  <si>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</si>
  <si>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</si>
  <si>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</si>
  <si>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</si>
  <si>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</si>
  <si>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</si>
  <si>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</si>
  <si>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</si>
  <si>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</si>
  <si>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</si>
  <si>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</si>
  <si>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</si>
  <si>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</si>
  <si>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</si>
  <si>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</si>
  <si>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</si>
  <si>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</si>
  <si>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</si>
  <si>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</si>
  <si>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</si>
  <si>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</si>
  <si>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</si>
  <si>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</si>
  <si>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</si>
  <si>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</si>
  <si>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</si>
  <si>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</si>
  <si>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</si>
  <si>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</si>
  <si>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</si>
  <si>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</si>
  <si>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</si>
  <si>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</si>
  <si>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</si>
  <si>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</si>
  <si>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</si>
  <si>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</si>
  <si>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</si>
  <si>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</si>
  <si>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</si>
  <si>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</si>
  <si>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</si>
  <si>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</si>
  <si>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</si>
  <si>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</si>
  <si>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</si>
  <si>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</si>
  <si>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</si>
  <si>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</si>
  <si>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</si>
  <si>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</si>
  <si>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</si>
  <si>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</si>
  <si>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</si>
  <si>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</si>
  <si>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</si>
  <si>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</si>
  <si>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</si>
  <si>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</si>
  <si>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</si>
  <si>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</si>
  <si>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</si>
  <si>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</si>
  <si>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</si>
  <si>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</si>
  <si>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</si>
  <si>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</si>
  <si>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</si>
  <si>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</si>
  <si>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</si>
  <si>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</si>
  <si>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</si>
  <si>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</si>
  <si>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</si>
  <si>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</si>
  <si>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</si>
  <si>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</si>
  <si>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</si>
  <si>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</si>
  <si>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</si>
  <si>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</si>
  <si>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</si>
  <si>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</si>
  <si>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</si>
  <si>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</si>
  <si>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</si>
  <si>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</si>
  <si>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</si>
  <si>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</si>
  <si>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</si>
  <si>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</si>
  <si>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</si>
  <si>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</si>
  <si>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</si>
  <si>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</si>
  <si>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</si>
  <si>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</si>
  <si>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</si>
  <si>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</si>
  <si>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</si>
  <si>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</si>
  <si>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</si>
  <si>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</si>
  <si>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</si>
  <si>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</si>
  <si>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</si>
  <si>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</si>
  <si>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</si>
  <si>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</si>
  <si>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</si>
  <si>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</si>
  <si>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</si>
  <si>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</si>
  <si>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</si>
  <si>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</si>
  <si>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</si>
  <si>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</si>
  <si>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</si>
  <si>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</si>
  <si>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</si>
  <si>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</si>
  <si>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</si>
  <si>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</si>
  <si>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</si>
  <si>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</si>
  <si>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</si>
  <si>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</si>
  <si>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</si>
  <si>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</si>
  <si>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</si>
  <si>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</si>
  <si>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</si>
  <si>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</si>
  <si>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</si>
  <si>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</si>
  <si>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</si>
  <si>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</si>
  <si>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</si>
  <si>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</si>
  <si>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</si>
  <si>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</si>
  <si>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</si>
  <si>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</si>
  <si>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</si>
  <si>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</si>
  <si>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</si>
  <si>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</si>
  <si>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</si>
  <si>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</si>
  <si>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</si>
  <si>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</si>
  <si>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</si>
  <si>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</si>
  <si>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</si>
  <si>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</si>
  <si>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</si>
  <si>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</si>
  <si>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</si>
  <si>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</si>
  <si>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</si>
  <si>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</si>
  <si>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</si>
  <si>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</si>
  <si>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</si>
  <si>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</si>
  <si>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</si>
  <si>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</si>
  <si>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</si>
  <si>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</si>
  <si>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</si>
  <si>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</si>
  <si>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</si>
  <si>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</si>
  <si>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</si>
  <si>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</si>
  <si>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</si>
  <si>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</si>
  <si>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</si>
  <si>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</si>
  <si>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</si>
  <si>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</si>
  <si>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</si>
  <si>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</si>
  <si>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</si>
  <si>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</si>
  <si>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</si>
  <si>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</si>
  <si>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</si>
  <si>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</si>
  <si>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</si>
  <si>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</si>
  <si>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</si>
  <si>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</si>
  <si>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</si>
  <si>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</si>
  <si>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</si>
  <si>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</si>
  <si>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</si>
  <si>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</si>
  <si>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</si>
  <si>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</si>
  <si>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</si>
  <si>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</si>
  <si>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</si>
  <si>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</si>
  <si>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</si>
  <si>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</si>
  <si>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</si>
  <si>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</si>
  <si>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</si>
  <si>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</si>
  <si>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</si>
  <si>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</si>
  <si>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</si>
  <si>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</si>
  <si>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</si>
  <si>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</si>
  <si>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</si>
  <si>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</si>
  <si>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</si>
  <si>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</si>
  <si>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</si>
  <si>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</si>
  <si>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</si>
  <si>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</si>
  <si>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</si>
  <si>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</si>
  <si>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</si>
  <si>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</si>
  <si>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</si>
  <si>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</si>
  <si>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</si>
  <si>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</si>
  <si>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</si>
  <si>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</si>
  <si>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</si>
  <si>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</si>
  <si>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</si>
  <si>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</si>
  <si>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</si>
  <si>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</si>
  <si>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</si>
  <si>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</si>
  <si>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</si>
  <si>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</si>
  <si>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</si>
  <si>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</si>
  <si>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</si>
  <si>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</si>
  <si>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</si>
  <si>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</si>
  <si>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</si>
  <si>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</si>
  <si>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</si>
  <si>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</si>
  <si>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</si>
  <si>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</si>
  <si>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</si>
  <si>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</si>
  <si>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</si>
  <si>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</si>
  <si>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</si>
  <si>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</si>
  <si>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</si>
  <si>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</si>
  <si>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</si>
  <si>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</si>
  <si>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</si>
  <si>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</si>
  <si>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</si>
  <si>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</si>
  <si>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</si>
  <si>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</si>
  <si>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</si>
  <si>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</si>
  <si>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</si>
  <si>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</si>
  <si>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</si>
  <si>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</si>
  <si>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</si>
  <si>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</si>
  <si>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</si>
  <si>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</si>
  <si>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</si>
  <si>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</si>
  <si>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</si>
  <si>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</si>
  <si>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</si>
  <si>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</si>
  <si>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</si>
  <si>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</si>
  <si>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</si>
  <si>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</si>
  <si>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</si>
  <si>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</si>
  <si>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</si>
  <si>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</si>
  <si>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</si>
  <si>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</si>
  <si>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</si>
  <si>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</si>
  <si>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</si>
  <si>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</si>
  <si>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</si>
  <si>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</si>
  <si>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</si>
  <si>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</si>
  <si>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</si>
  <si>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</si>
  <si>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</si>
  <si>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</si>
  <si>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</si>
  <si>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</si>
  <si>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</si>
  <si>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</si>
  <si>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</si>
  <si>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</si>
  <si>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</si>
  <si>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</si>
  <si>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</si>
  <si>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考量校園環境衛生避免孳生蚊蟲，寶特瓶等容器改為每週由清潔隊少量無償回收，及廢紙市場行情暴跌，致資源回收收入鉅減。</t>
    <phoneticPr fontId="10" type="noConversion"/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</si>
  <si>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</si>
  <si>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</si>
  <si>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</si>
  <si>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</si>
  <si>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</si>
  <si>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</si>
  <si>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</si>
  <si>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</si>
  <si>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</si>
  <si>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</si>
  <si>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</si>
  <si>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</si>
  <si>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</si>
  <si>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</si>
  <si>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</si>
  <si>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</si>
  <si>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</si>
  <si>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</si>
  <si>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</si>
  <si>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</si>
  <si>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</si>
  <si>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</si>
  <si>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</si>
  <si>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</si>
  <si>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</si>
  <si>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</si>
  <si>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</si>
  <si>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</si>
  <si>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</si>
  <si>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</si>
  <si>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</si>
  <si>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</si>
  <si>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</si>
  <si>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</si>
  <si>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</si>
  <si>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</si>
  <si>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</si>
  <si>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</si>
  <si>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</si>
  <si>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</si>
  <si>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</si>
  <si>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</si>
  <si>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</si>
  <si>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</si>
  <si>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</si>
  <si>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</si>
  <si>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</si>
  <si>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</si>
  <si>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</si>
  <si>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</si>
  <si>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</si>
  <si>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</si>
  <si>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</si>
  <si>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</si>
  <si>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</si>
  <si>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</si>
  <si>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</si>
  <si>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</si>
  <si>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</si>
  <si>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</si>
  <si>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</si>
  <si>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</si>
  <si>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</si>
  <si>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</si>
  <si>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</si>
  <si>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</si>
  <si>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</si>
  <si>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</si>
  <si>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</si>
  <si>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</si>
  <si>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</si>
  <si>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</si>
  <si>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</si>
  <si>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</si>
  <si>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</si>
  <si>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</si>
  <si>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</si>
  <si>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</si>
  <si>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</si>
  <si>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</si>
  <si>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</si>
  <si>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</si>
  <si>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</si>
  <si>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</si>
  <si>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</si>
  <si>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</si>
  <si>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</si>
  <si>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</si>
  <si>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</si>
  <si>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</si>
  <si>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</si>
  <si>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</si>
  <si>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</si>
  <si>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</si>
  <si>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</si>
  <si>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</si>
  <si>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</si>
  <si>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</si>
  <si>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</si>
  <si>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</si>
  <si>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</si>
  <si>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</si>
  <si>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-49.85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</si>
  <si>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</si>
  <si>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</si>
  <si>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</si>
  <si>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</si>
  <si>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</si>
  <si>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</si>
  <si>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</si>
  <si>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</si>
  <si>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</si>
  <si>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</si>
  <si>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</si>
  <si>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</si>
  <si>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</si>
  <si>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</si>
  <si>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</si>
  <si>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</si>
  <si>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</si>
  <si>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</si>
  <si>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</si>
  <si>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</si>
  <si>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</si>
  <si>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</si>
  <si>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</si>
  <si>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</si>
  <si>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</si>
  <si>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</si>
  <si>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</si>
  <si>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</si>
  <si>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</si>
  <si>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</si>
  <si>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</si>
  <si>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</si>
  <si>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</si>
  <si>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</si>
  <si>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</si>
  <si>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</si>
  <si>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</si>
  <si>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</si>
  <si>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</si>
  <si>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</si>
  <si>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</si>
  <si>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</si>
  <si>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</si>
  <si>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</si>
  <si>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-79.72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</si>
  <si>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</si>
  <si>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</si>
  <si>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</si>
  <si>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</si>
  <si>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</si>
  <si>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</si>
  <si>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</si>
  <si>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</si>
  <si>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</si>
  <si>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</si>
  <si>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</si>
  <si>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</si>
  <si>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-10.18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</si>
  <si>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</si>
  <si>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</si>
  <si>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</si>
  <si>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</si>
  <si>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</si>
  <si>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</si>
  <si>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</si>
  <si>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</si>
  <si>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</si>
  <si>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-68.36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</si>
  <si>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</si>
  <si>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</si>
  <si>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</si>
  <si>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</si>
  <si>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</si>
  <si>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</si>
  <si>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</si>
  <si>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</si>
  <si>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</si>
  <si>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</si>
  <si>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</si>
  <si>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</si>
  <si>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</si>
  <si>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</si>
  <si>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</si>
  <si>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</si>
  <si>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</si>
  <si>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</si>
  <si>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-24.59</t>
  </si>
  <si>
    <t>-25.76</t>
  </si>
  <si>
    <t>11253017580030100</t>
  </si>
  <si>
    <t>地方教育發展基金</t>
  </si>
  <si>
    <t>上期結餘</t>
  </si>
  <si>
    <t>112/08/01</t>
  </si>
  <si>
    <t>支付數</t>
  </si>
  <si>
    <t>112/08/04</t>
  </si>
  <si>
    <t>00059</t>
  </si>
  <si>
    <t>0800955</t>
  </si>
  <si>
    <t>112/08/11</t>
  </si>
  <si>
    <t>00060</t>
  </si>
  <si>
    <t>0802606</t>
  </si>
  <si>
    <t>00061</t>
  </si>
  <si>
    <t>0802607</t>
  </si>
  <si>
    <t>112/08/14</t>
  </si>
  <si>
    <t>00062</t>
  </si>
  <si>
    <t>0802883</t>
  </si>
  <si>
    <t>112/08/15</t>
  </si>
  <si>
    <t>00056</t>
  </si>
  <si>
    <t>0800241</t>
  </si>
  <si>
    <t>支出收回</t>
  </si>
  <si>
    <t>00045</t>
  </si>
  <si>
    <t>112/08/17</t>
  </si>
  <si>
    <t>00063</t>
  </si>
  <si>
    <t>0803605</t>
  </si>
  <si>
    <t>0803607</t>
  </si>
  <si>
    <t>112/08/18</t>
  </si>
  <si>
    <t>0803971</t>
  </si>
  <si>
    <t>112/08/28</t>
  </si>
  <si>
    <t>0805548</t>
  </si>
  <si>
    <t>112/08/30</t>
  </si>
  <si>
    <t>收入數</t>
  </si>
  <si>
    <t>112/08/31</t>
  </si>
  <si>
    <t>0805398</t>
  </si>
  <si>
    <t>0805399</t>
  </si>
  <si>
    <t>0806132</t>
  </si>
  <si>
    <t>小計</t>
  </si>
  <si>
    <t>13996520145661</t>
    <phoneticPr fontId="10" type="noConversion"/>
  </si>
  <si>
    <t>111學年度考績獎金-教師</t>
    <phoneticPr fontId="10" type="noConversion"/>
  </si>
  <si>
    <t>175-1</t>
  </si>
  <si>
    <t>彰化縣地方教育發展基金－彰化縣秀水鄉馬興國民小學</t>
  </si>
  <si>
    <t>代收代辦經費收支餘額表</t>
  </si>
  <si>
    <t>中華民國112年1月1日至112年8月31日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</si>
  <si>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</si>
  <si>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</si>
  <si>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</si>
  <si>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</si>
  <si>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</si>
  <si>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</si>
  <si>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</si>
  <si>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</si>
  <si>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</si>
  <si>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</si>
  <si>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</si>
  <si>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</si>
  <si>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</si>
  <si>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</si>
  <si>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</si>
  <si>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</si>
  <si>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</si>
  <si>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</si>
  <si>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</si>
  <si>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</si>
  <si>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</si>
  <si>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</si>
  <si>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</si>
  <si>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</si>
  <si>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</si>
  <si>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</si>
  <si>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</si>
  <si>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</si>
  <si>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</si>
  <si>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</si>
  <si>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</si>
  <si>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</si>
  <si>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</si>
  <si>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</si>
  <si>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</si>
  <si>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</si>
  <si>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</si>
  <si>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</si>
  <si>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</si>
  <si>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</si>
  <si>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</si>
  <si>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</si>
  <si>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</si>
  <si>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</si>
  <si>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</si>
  <si>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</si>
  <si>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</si>
  <si>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</si>
  <si>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</si>
  <si>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</si>
  <si>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</si>
  <si>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</si>
  <si>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</si>
  <si>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</si>
  <si>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</si>
  <si>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</si>
  <si>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</si>
  <si>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</si>
  <si>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</si>
  <si>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</si>
  <si>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</si>
  <si>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</si>
  <si>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</si>
  <si>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</si>
  <si>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</si>
  <si>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</si>
  <si>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</si>
  <si>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</si>
  <si>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</si>
  <si>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</si>
  <si>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</si>
  <si>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</si>
  <si>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</si>
  <si>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YA1204  存入保證金-#94121-履約保證金-活動中心冷氣機裝設及電力改善工程(統良)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</si>
  <si>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</si>
  <si>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</si>
  <si>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</si>
  <si>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</si>
  <si>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</si>
  <si>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</si>
  <si>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</si>
  <si>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</si>
  <si>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</si>
  <si>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</si>
  <si>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總和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</si>
</sst>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0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101" fillId="0" borderId="0" xfId="0" applyFont="1" applyAlignment="1"/>
    <xf numFmtId="0" fontId="7" fillId="0" borderId="0" xfId="0" applyFont="1" applyAlignment="1"/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4" fillId="0" borderId="0" xfId="7" applyNumberFormat="1" applyFont="1" applyAlignment="1" applyProtection="1">
      <alignment horizontal="right"/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0" fontId="7" fillId="0" borderId="0" xfId="0" applyFont="1" applyAlignment="1"/>
    <xf numFmtId="0" fontId="63" fillId="0" borderId="0" xfId="0" applyFont="1" applyAlignment="1">
      <alignment vertical="top" wrapText="1"/>
    </xf>
    <xf numFmtId="49" fontId="59" fillId="0" borderId="0" xfId="7" applyNumberFormat="1" applyFont="1" applyBorder="1" applyAlignment="1" applyProtection="1">
      <alignment vertical="center" wrapText="1"/>
    </xf>
    <xf numFmtId="3" fontId="27" fillId="0" borderId="1" xfId="3" applyNumberFormat="1" applyFont="1" applyBorder="1" applyAlignment="1">
      <alignment horizontal="left" vertical="center" indent="5"/>
    </xf>
    <xf numFmtId="3" fontId="68" fillId="0" borderId="1" xfId="3" applyNumberFormat="1" applyFont="1" applyBorder="1" applyAlignment="1">
      <alignment horizontal="left" vertical="center" indent="5"/>
    </xf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106" fillId="0" borderId="0" xfId="0" applyFont="1" applyAlignment="1">
      <alignment horizontal="right" vertical="top"/>
    </xf>
    <xf numFmtId="3" fontId="0" fillId="14" borderId="0" xfId="0" applyNumberFormat="1" applyFill="1">
      <alignment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vertical="top" wrapText="1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6851724</v>
          </cell>
          <cell r="V14">
            <v>12.733662454402657</v>
          </cell>
        </row>
        <row r="15">
          <cell r="T15">
            <v>4641922</v>
          </cell>
          <cell r="V15">
            <v>8.626831420481281</v>
          </cell>
        </row>
        <row r="16">
          <cell r="T16">
            <v>4641922</v>
          </cell>
          <cell r="V16">
            <v>8.626831420481281</v>
          </cell>
        </row>
        <row r="17">
          <cell r="T17">
            <v>4641922</v>
          </cell>
          <cell r="V17">
            <v>8.626831420481281</v>
          </cell>
        </row>
        <row r="18">
          <cell r="T18">
            <v>0</v>
          </cell>
          <cell r="V18">
            <v>0</v>
          </cell>
        </row>
        <row r="19">
          <cell r="T19">
            <v>2209802</v>
          </cell>
          <cell r="V19">
            <v>4.1068310339213756</v>
          </cell>
        </row>
        <row r="20">
          <cell r="T20">
            <v>2209802</v>
          </cell>
          <cell r="V20">
            <v>4.1068310339213756</v>
          </cell>
        </row>
        <row r="21">
          <cell r="T21">
            <v>2209802</v>
          </cell>
          <cell r="V21">
            <v>4.1068310339213756</v>
          </cell>
        </row>
        <row r="22">
          <cell r="T22">
            <v>46956236</v>
          </cell>
          <cell r="V22">
            <v>87.266337545597338</v>
          </cell>
        </row>
        <row r="23">
          <cell r="T23">
            <v>46956236</v>
          </cell>
          <cell r="V23">
            <v>87.266337545597338</v>
          </cell>
        </row>
        <row r="24">
          <cell r="T24">
            <v>46956236</v>
          </cell>
          <cell r="V24">
            <v>87.266337545597338</v>
          </cell>
        </row>
        <row r="25">
          <cell r="T25">
            <v>42779832</v>
          </cell>
          <cell r="V25">
            <v>79.504653214877507</v>
          </cell>
        </row>
        <row r="26">
          <cell r="T26">
            <v>4176404</v>
          </cell>
          <cell r="V26">
            <v>7.7616843307198415</v>
          </cell>
        </row>
        <row r="27">
          <cell r="T27">
            <v>53807960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6851724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26257810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3371027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2244385</v>
          </cell>
        </row>
        <row r="21">
          <cell r="N21">
            <v>1126642</v>
          </cell>
        </row>
        <row r="22">
          <cell r="N22">
            <v>22880013</v>
          </cell>
        </row>
        <row r="23">
          <cell r="N23">
            <v>22880013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23484257</v>
          </cell>
        </row>
        <row r="27">
          <cell r="N27">
            <v>20700348</v>
          </cell>
        </row>
        <row r="28">
          <cell r="N28">
            <v>20700348</v>
          </cell>
        </row>
        <row r="29">
          <cell r="N29">
            <v>919875</v>
          </cell>
        </row>
        <row r="30">
          <cell r="N30">
            <v>919875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1863065</v>
          </cell>
        </row>
        <row r="34">
          <cell r="N34">
            <v>1863065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2773553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4" t="s">
        <v>278</v>
      </c>
      <c r="B4" s="615"/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</row>
    <row r="5" spans="1:14" ht="59.25" customHeight="1"/>
    <row r="6" spans="1:14" ht="59.25" customHeight="1"/>
    <row r="7" spans="1:14" ht="36.75">
      <c r="C7" s="616" t="s">
        <v>117</v>
      </c>
      <c r="D7" s="616"/>
      <c r="E7" s="616"/>
      <c r="F7" s="616"/>
      <c r="G7" s="616"/>
      <c r="H7" s="616"/>
      <c r="I7" s="616"/>
      <c r="J7" s="616"/>
      <c r="K7" s="616"/>
      <c r="L7" s="616"/>
    </row>
    <row r="8" spans="1:14" ht="51.75" customHeight="1"/>
    <row r="9" spans="1:14" ht="51.75" customHeight="1"/>
    <row r="10" spans="1:14" s="65" customFormat="1" ht="32.25">
      <c r="C10" s="325"/>
      <c r="D10" s="325"/>
      <c r="E10" s="617" t="s">
        <v>118</v>
      </c>
      <c r="F10" s="617"/>
      <c r="G10" s="617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8" t="s">
        <v>121</v>
      </c>
      <c r="C15" s="618"/>
      <c r="D15" s="618"/>
      <c r="E15" s="618"/>
      <c r="F15" s="618"/>
      <c r="H15" s="324"/>
      <c r="I15" s="324" t="s">
        <v>122</v>
      </c>
      <c r="J15" s="324"/>
      <c r="K15" s="324"/>
      <c r="L15" s="324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5" sqref="A5:W6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7"/>
      <c r="W1" s="717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72"/>
      <c r="T3" s="772"/>
      <c r="U3" s="772"/>
      <c r="V3" s="772"/>
      <c r="W3" s="772"/>
    </row>
    <row r="4" spans="1:23" ht="19.5">
      <c r="A4" s="718" t="s">
        <v>453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8"/>
      <c r="U4" s="718"/>
      <c r="V4" s="718"/>
      <c r="W4" s="718"/>
    </row>
    <row r="5" spans="1:23" ht="19.5" customHeight="1">
      <c r="A5" s="719" t="str">
        <f>封面!$E$10&amp;封面!$H$10&amp;封面!$I$10&amp;封面!$J$10&amp;封面!$K$10&amp;封面!L10</f>
        <v>中華民國112年8月份</v>
      </c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  <c r="N5" s="719"/>
      <c r="O5" s="719"/>
      <c r="P5" s="719"/>
      <c r="Q5" s="719"/>
      <c r="R5" s="719"/>
      <c r="S5" s="719"/>
      <c r="T5" s="719"/>
      <c r="U5" s="719"/>
      <c r="V5" s="719"/>
      <c r="W5" s="719"/>
    </row>
    <row r="6" spans="1:23" ht="12.75" hidden="1">
      <c r="A6" s="719"/>
      <c r="B6" s="719"/>
      <c r="C6" s="719"/>
      <c r="D6" s="719"/>
      <c r="E6" s="719"/>
      <c r="F6" s="719"/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</row>
    <row r="7" spans="1:23" s="9" customFormat="1" ht="16.5">
      <c r="A7" s="773" t="s">
        <v>1</v>
      </c>
      <c r="B7" s="773"/>
      <c r="C7" s="773"/>
      <c r="D7" s="773"/>
      <c r="E7" s="773"/>
      <c r="F7" s="773"/>
      <c r="G7" s="773"/>
      <c r="H7" s="773"/>
      <c r="I7" s="773"/>
      <c r="J7" s="773"/>
      <c r="K7" s="773"/>
      <c r="L7" s="773"/>
      <c r="M7" s="773"/>
      <c r="N7" s="773"/>
      <c r="O7" s="773"/>
      <c r="P7" s="773"/>
      <c r="Q7" s="773"/>
      <c r="R7" s="773"/>
      <c r="S7" s="773"/>
      <c r="T7" s="773"/>
      <c r="U7" s="773"/>
      <c r="V7" s="773"/>
      <c r="W7" s="773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51" t="s">
        <v>455</v>
      </c>
      <c r="B10" s="752"/>
      <c r="C10" s="751" t="s">
        <v>56</v>
      </c>
      <c r="D10" s="757"/>
      <c r="E10" s="757"/>
      <c r="F10" s="757"/>
      <c r="G10" s="758"/>
      <c r="H10" s="767" t="s">
        <v>57</v>
      </c>
      <c r="I10" s="749" t="s">
        <v>55</v>
      </c>
      <c r="J10" s="750"/>
      <c r="K10" s="750"/>
      <c r="L10" s="750"/>
      <c r="M10" s="750"/>
      <c r="N10" s="750"/>
      <c r="O10" s="750"/>
      <c r="P10" s="749" t="s">
        <v>58</v>
      </c>
      <c r="Q10" s="750"/>
      <c r="R10" s="750"/>
      <c r="S10" s="750"/>
      <c r="T10" s="750"/>
      <c r="U10" s="751" t="s">
        <v>59</v>
      </c>
      <c r="V10" s="757"/>
      <c r="W10" s="758"/>
    </row>
    <row r="11" spans="1:23" s="21" customFormat="1" ht="12.75" hidden="1" customHeight="1">
      <c r="A11" s="753"/>
      <c r="B11" s="754"/>
      <c r="C11" s="759"/>
      <c r="D11" s="760"/>
      <c r="E11" s="760"/>
      <c r="F11" s="760"/>
      <c r="G11" s="761"/>
      <c r="H11" s="768"/>
      <c r="I11" s="750"/>
      <c r="J11" s="750"/>
      <c r="K11" s="750"/>
      <c r="L11" s="750"/>
      <c r="M11" s="750"/>
      <c r="N11" s="750"/>
      <c r="O11" s="750"/>
      <c r="P11" s="750"/>
      <c r="Q11" s="750"/>
      <c r="R11" s="750"/>
      <c r="S11" s="750"/>
      <c r="T11" s="750"/>
      <c r="U11" s="759"/>
      <c r="V11" s="760"/>
      <c r="W11" s="761"/>
    </row>
    <row r="12" spans="1:23" s="22" customFormat="1" ht="12.75" customHeight="1">
      <c r="A12" s="753"/>
      <c r="B12" s="754"/>
      <c r="C12" s="759"/>
      <c r="D12" s="760"/>
      <c r="E12" s="760"/>
      <c r="F12" s="760"/>
      <c r="G12" s="761"/>
      <c r="H12" s="768"/>
      <c r="I12" s="750"/>
      <c r="J12" s="750"/>
      <c r="K12" s="750"/>
      <c r="L12" s="750"/>
      <c r="M12" s="750"/>
      <c r="N12" s="750"/>
      <c r="O12" s="750"/>
      <c r="P12" s="750"/>
      <c r="Q12" s="750"/>
      <c r="R12" s="750"/>
      <c r="S12" s="750"/>
      <c r="T12" s="750"/>
      <c r="U12" s="759"/>
      <c r="V12" s="760"/>
      <c r="W12" s="761"/>
    </row>
    <row r="13" spans="1:23" s="5" customFormat="1" ht="12.75" hidden="1" customHeight="1">
      <c r="A13" s="753"/>
      <c r="B13" s="754"/>
      <c r="C13" s="762"/>
      <c r="D13" s="763"/>
      <c r="E13" s="763"/>
      <c r="F13" s="760"/>
      <c r="G13" s="761"/>
      <c r="H13" s="768"/>
      <c r="I13" s="750"/>
      <c r="J13" s="750"/>
      <c r="K13" s="750"/>
      <c r="L13" s="750"/>
      <c r="M13" s="750"/>
      <c r="N13" s="750"/>
      <c r="O13" s="750"/>
      <c r="P13" s="750"/>
      <c r="Q13" s="750"/>
      <c r="R13" s="750"/>
      <c r="S13" s="750"/>
      <c r="T13" s="750"/>
      <c r="U13" s="759"/>
      <c r="V13" s="760"/>
      <c r="W13" s="761"/>
    </row>
    <row r="14" spans="1:23" s="5" customFormat="1" ht="12.75" customHeight="1">
      <c r="A14" s="753"/>
      <c r="B14" s="754"/>
      <c r="C14" s="764"/>
      <c r="D14" s="765"/>
      <c r="E14" s="765"/>
      <c r="F14" s="766"/>
      <c r="G14" s="723"/>
      <c r="H14" s="768"/>
      <c r="I14" s="750"/>
      <c r="J14" s="750"/>
      <c r="K14" s="750"/>
      <c r="L14" s="750"/>
      <c r="M14" s="750"/>
      <c r="N14" s="750"/>
      <c r="O14" s="750"/>
      <c r="P14" s="750"/>
      <c r="Q14" s="750"/>
      <c r="R14" s="750"/>
      <c r="S14" s="750"/>
      <c r="T14" s="750"/>
      <c r="U14" s="759"/>
      <c r="V14" s="760"/>
      <c r="W14" s="761"/>
    </row>
    <row r="15" spans="1:23" s="5" customFormat="1" ht="12.75" customHeight="1">
      <c r="A15" s="753"/>
      <c r="B15" s="754"/>
      <c r="C15" s="769" t="s">
        <v>318</v>
      </c>
      <c r="D15" s="769" t="s">
        <v>319</v>
      </c>
      <c r="E15" s="769" t="s">
        <v>320</v>
      </c>
      <c r="F15" s="767" t="s">
        <v>60</v>
      </c>
      <c r="G15" s="767" t="s">
        <v>61</v>
      </c>
      <c r="H15" s="768"/>
      <c r="I15" s="749" t="s">
        <v>454</v>
      </c>
      <c r="J15" s="750"/>
      <c r="K15" s="750"/>
      <c r="L15" s="750"/>
      <c r="M15" s="749" t="s">
        <v>12</v>
      </c>
      <c r="N15" s="750"/>
      <c r="O15" s="750"/>
      <c r="P15" s="750"/>
      <c r="Q15" s="750"/>
      <c r="R15" s="750"/>
      <c r="S15" s="750"/>
      <c r="T15" s="750"/>
      <c r="U15" s="759"/>
      <c r="V15" s="760"/>
      <c r="W15" s="761"/>
    </row>
    <row r="16" spans="1:23" s="5" customFormat="1" ht="12.75" customHeight="1">
      <c r="A16" s="753"/>
      <c r="B16" s="754"/>
      <c r="C16" s="770"/>
      <c r="D16" s="770"/>
      <c r="E16" s="770"/>
      <c r="F16" s="770"/>
      <c r="G16" s="768"/>
      <c r="H16" s="768"/>
      <c r="I16" s="750"/>
      <c r="J16" s="750"/>
      <c r="K16" s="750"/>
      <c r="L16" s="750"/>
      <c r="M16" s="750"/>
      <c r="N16" s="750"/>
      <c r="O16" s="750"/>
      <c r="P16" s="750"/>
      <c r="Q16" s="750"/>
      <c r="R16" s="750"/>
      <c r="S16" s="750"/>
      <c r="T16" s="750"/>
      <c r="U16" s="759"/>
      <c r="V16" s="760"/>
      <c r="W16" s="761"/>
    </row>
    <row r="17" spans="1:23" s="5" customFormat="1" ht="12.75" customHeight="1">
      <c r="A17" s="753"/>
      <c r="B17" s="754"/>
      <c r="C17" s="770"/>
      <c r="D17" s="770"/>
      <c r="E17" s="770"/>
      <c r="F17" s="770"/>
      <c r="G17" s="768"/>
      <c r="H17" s="768"/>
      <c r="I17" s="749" t="s">
        <v>63</v>
      </c>
      <c r="J17" s="775" t="s">
        <v>62</v>
      </c>
      <c r="K17" s="749" t="s">
        <v>64</v>
      </c>
      <c r="L17" s="771" t="s">
        <v>65</v>
      </c>
      <c r="M17" s="749" t="s">
        <v>4</v>
      </c>
      <c r="N17" s="771" t="s">
        <v>65</v>
      </c>
      <c r="O17" s="750"/>
      <c r="P17" s="750"/>
      <c r="Q17" s="750"/>
      <c r="R17" s="750"/>
      <c r="S17" s="750"/>
      <c r="T17" s="750"/>
      <c r="U17" s="759"/>
      <c r="V17" s="760"/>
      <c r="W17" s="761"/>
    </row>
    <row r="18" spans="1:23" s="5" customFormat="1" ht="12.75" customHeight="1">
      <c r="A18" s="753"/>
      <c r="B18" s="754"/>
      <c r="C18" s="770"/>
      <c r="D18" s="770"/>
      <c r="E18" s="770"/>
      <c r="F18" s="770"/>
      <c r="G18" s="768"/>
      <c r="H18" s="768"/>
      <c r="I18" s="750"/>
      <c r="J18" s="775"/>
      <c r="K18" s="750"/>
      <c r="L18" s="750"/>
      <c r="M18" s="750"/>
      <c r="N18" s="750"/>
      <c r="O18" s="750"/>
      <c r="P18" s="750"/>
      <c r="Q18" s="750"/>
      <c r="R18" s="750"/>
      <c r="S18" s="750"/>
      <c r="T18" s="750"/>
      <c r="U18" s="759"/>
      <c r="V18" s="760"/>
      <c r="W18" s="761"/>
    </row>
    <row r="19" spans="1:23" s="5" customFormat="1" ht="12.75" hidden="1" customHeight="1">
      <c r="A19" s="753"/>
      <c r="B19" s="754"/>
      <c r="C19" s="425"/>
      <c r="D19" s="425"/>
      <c r="E19" s="425"/>
      <c r="F19" s="335"/>
      <c r="G19" s="768"/>
      <c r="H19" s="768"/>
      <c r="I19" s="750"/>
      <c r="J19" s="775"/>
      <c r="K19" s="750"/>
      <c r="L19" s="750"/>
      <c r="M19" s="750"/>
      <c r="N19" s="750"/>
      <c r="O19" s="750"/>
      <c r="P19" s="750"/>
      <c r="Q19" s="750"/>
      <c r="R19" s="750"/>
      <c r="S19" s="750"/>
      <c r="T19" s="750"/>
      <c r="U19" s="759"/>
      <c r="V19" s="760"/>
      <c r="W19" s="761"/>
    </row>
    <row r="20" spans="1:23" s="5" customFormat="1" ht="16.5" hidden="1" customHeight="1">
      <c r="A20" s="755"/>
      <c r="B20" s="756"/>
      <c r="C20" s="426"/>
      <c r="D20" s="426"/>
      <c r="E20" s="426"/>
      <c r="F20" s="332"/>
      <c r="G20" s="724"/>
      <c r="H20" s="724"/>
      <c r="I20" s="750"/>
      <c r="J20" s="775"/>
      <c r="K20" s="750"/>
      <c r="L20" s="750"/>
      <c r="M20" s="750"/>
      <c r="N20" s="750"/>
      <c r="O20" s="750"/>
      <c r="P20" s="750"/>
      <c r="Q20" s="750"/>
      <c r="R20" s="750"/>
      <c r="S20" s="750"/>
      <c r="T20" s="750"/>
      <c r="U20" s="774"/>
      <c r="V20" s="766"/>
      <c r="W20" s="723"/>
    </row>
    <row r="21" spans="1:23" ht="14.25" customHeight="1">
      <c r="A21" s="96" t="s">
        <v>456</v>
      </c>
      <c r="B21" s="97"/>
      <c r="C21" s="399">
        <f>SUM(C23:C24)</f>
        <v>0</v>
      </c>
      <c r="D21" s="399">
        <f t="shared" ref="D21:J22" si="0">SUM(D23:D24)</f>
        <v>0</v>
      </c>
      <c r="E21" s="399">
        <f t="shared" si="0"/>
        <v>0</v>
      </c>
      <c r="F21" s="400">
        <f t="shared" si="0"/>
        <v>0</v>
      </c>
      <c r="G21" s="400">
        <f>SUM(C21:F21)</f>
        <v>0</v>
      </c>
      <c r="H21" s="400">
        <f t="shared" si="0"/>
        <v>0</v>
      </c>
      <c r="I21" s="400">
        <f t="shared" si="0"/>
        <v>0</v>
      </c>
      <c r="J21" s="400">
        <f t="shared" si="0"/>
        <v>0</v>
      </c>
      <c r="K21" s="400">
        <f>SUM(I21:J21)</f>
        <v>0</v>
      </c>
      <c r="L21" s="401">
        <f>IF(K21=0,0,K21/H21)</f>
        <v>0</v>
      </c>
      <c r="M21" s="400">
        <f>H21-K21</f>
        <v>0</v>
      </c>
      <c r="N21" s="402">
        <f>IF(M21=0,0,M21/H21)</f>
        <v>0</v>
      </c>
      <c r="O21" s="403"/>
      <c r="P21" s="404"/>
      <c r="Q21" s="405"/>
      <c r="R21" s="745"/>
      <c r="S21" s="746"/>
      <c r="T21" s="747"/>
      <c r="U21" s="748"/>
      <c r="V21" s="746"/>
      <c r="W21" s="747"/>
    </row>
    <row r="22" spans="1:23" ht="14.25" customHeight="1">
      <c r="A22" s="100" t="s">
        <v>44</v>
      </c>
      <c r="B22" s="99"/>
      <c r="C22" s="406">
        <f>SUM(C24:C25)</f>
        <v>0</v>
      </c>
      <c r="D22" s="406">
        <f t="shared" si="0"/>
        <v>0</v>
      </c>
      <c r="E22" s="406">
        <f t="shared" si="0"/>
        <v>0</v>
      </c>
      <c r="F22" s="407">
        <f t="shared" si="0"/>
        <v>0</v>
      </c>
      <c r="G22" s="407">
        <f>SUM(C22:F22)</f>
        <v>0</v>
      </c>
      <c r="H22" s="407">
        <f t="shared" si="0"/>
        <v>0</v>
      </c>
      <c r="I22" s="407">
        <f t="shared" si="0"/>
        <v>0</v>
      </c>
      <c r="J22" s="407">
        <f t="shared" si="0"/>
        <v>0</v>
      </c>
      <c r="K22" s="407">
        <f>SUM(I22:J22)</f>
        <v>0</v>
      </c>
      <c r="L22" s="408">
        <f>IF(K22=0,0,K22/H22)</f>
        <v>0</v>
      </c>
      <c r="M22" s="407">
        <f>H22-K22</f>
        <v>0</v>
      </c>
      <c r="N22" s="409">
        <f>IF(M22=0,0,M22/H22)</f>
        <v>0</v>
      </c>
      <c r="O22" s="410"/>
      <c r="P22" s="411"/>
      <c r="Q22" s="412"/>
      <c r="R22" s="562"/>
      <c r="S22" s="563"/>
      <c r="T22" s="564"/>
      <c r="U22" s="565"/>
      <c r="V22" s="563"/>
      <c r="W22" s="564"/>
    </row>
    <row r="23" spans="1:23">
      <c r="A23" s="98"/>
      <c r="B23" s="99" t="s">
        <v>44</v>
      </c>
      <c r="C23" s="406"/>
      <c r="D23" s="406"/>
      <c r="E23" s="406"/>
      <c r="F23" s="407"/>
      <c r="G23" s="407">
        <f t="shared" ref="G23:G41" si="1">SUM(C23:F23)</f>
        <v>0</v>
      </c>
      <c r="H23" s="407"/>
      <c r="I23" s="407"/>
      <c r="J23" s="407"/>
      <c r="K23" s="407">
        <f t="shared" ref="K23:K41" si="2">SUM(I23:J23)</f>
        <v>0</v>
      </c>
      <c r="L23" s="408">
        <f t="shared" ref="L23:L41" si="3">IF(K23=0,0,K23/H23)</f>
        <v>0</v>
      </c>
      <c r="M23" s="407">
        <f t="shared" ref="M23:M41" si="4">H23-K23</f>
        <v>0</v>
      </c>
      <c r="N23" s="409">
        <f t="shared" ref="N23:N41" si="5">IF(M23=0,0,M23/H23)</f>
        <v>0</v>
      </c>
      <c r="O23" s="410"/>
      <c r="P23" s="411"/>
      <c r="Q23" s="412"/>
      <c r="R23" s="737"/>
      <c r="S23" s="738"/>
      <c r="T23" s="739"/>
      <c r="U23" s="740"/>
      <c r="V23" s="738"/>
      <c r="W23" s="739"/>
    </row>
    <row r="24" spans="1:23">
      <c r="A24" s="98"/>
      <c r="B24" s="99" t="s">
        <v>49</v>
      </c>
      <c r="C24" s="407"/>
      <c r="D24" s="407"/>
      <c r="E24" s="407"/>
      <c r="F24" s="407"/>
      <c r="G24" s="407">
        <f t="shared" si="1"/>
        <v>0</v>
      </c>
      <c r="H24" s="407"/>
      <c r="I24" s="407"/>
      <c r="J24" s="407"/>
      <c r="K24" s="407">
        <f t="shared" si="2"/>
        <v>0</v>
      </c>
      <c r="L24" s="408">
        <f t="shared" si="3"/>
        <v>0</v>
      </c>
      <c r="M24" s="407">
        <f t="shared" si="4"/>
        <v>0</v>
      </c>
      <c r="N24" s="409">
        <f t="shared" si="5"/>
        <v>0</v>
      </c>
      <c r="O24" s="410"/>
      <c r="P24" s="411"/>
      <c r="Q24" s="412"/>
      <c r="R24" s="737"/>
      <c r="S24" s="738"/>
      <c r="T24" s="739"/>
      <c r="U24" s="740"/>
      <c r="V24" s="738"/>
      <c r="W24" s="739"/>
    </row>
    <row r="25" spans="1:23" ht="14.25" customHeight="1">
      <c r="A25" s="100" t="s">
        <v>45</v>
      </c>
      <c r="B25" s="99"/>
      <c r="C25" s="407">
        <f>SUM(C26:C27)</f>
        <v>0</v>
      </c>
      <c r="D25" s="407">
        <f t="shared" ref="D25" si="6">SUM(D26:D27)</f>
        <v>0</v>
      </c>
      <c r="E25" s="407">
        <f t="shared" ref="E25" si="7">SUM(E26:E27)</f>
        <v>0</v>
      </c>
      <c r="F25" s="407">
        <f t="shared" ref="F25" si="8">SUM(F26:F27)</f>
        <v>0</v>
      </c>
      <c r="G25" s="407">
        <f t="shared" si="1"/>
        <v>0</v>
      </c>
      <c r="H25" s="407">
        <f t="shared" ref="H25" si="9">SUM(H26:H27)</f>
        <v>0</v>
      </c>
      <c r="I25" s="407">
        <f t="shared" ref="I25" si="10">SUM(I26:I27)</f>
        <v>0</v>
      </c>
      <c r="J25" s="407">
        <f t="shared" ref="J25" si="11">SUM(J26:J27)</f>
        <v>0</v>
      </c>
      <c r="K25" s="407">
        <f t="shared" si="2"/>
        <v>0</v>
      </c>
      <c r="L25" s="408">
        <f>IF(K25=0,0,K25/H25)</f>
        <v>0</v>
      </c>
      <c r="M25" s="407">
        <f t="shared" si="4"/>
        <v>0</v>
      </c>
      <c r="N25" s="409">
        <f>IF(M25=0,0,M25/H25)</f>
        <v>0</v>
      </c>
      <c r="O25" s="410"/>
      <c r="P25" s="411"/>
      <c r="Q25" s="412"/>
      <c r="R25" s="737"/>
      <c r="S25" s="738"/>
      <c r="T25" s="739"/>
      <c r="U25" s="740"/>
      <c r="V25" s="738"/>
      <c r="W25" s="739"/>
    </row>
    <row r="26" spans="1:23">
      <c r="A26" s="98"/>
      <c r="B26" s="99" t="s">
        <v>45</v>
      </c>
      <c r="C26" s="407"/>
      <c r="D26" s="407"/>
      <c r="E26" s="407"/>
      <c r="F26" s="407"/>
      <c r="G26" s="407">
        <f t="shared" si="1"/>
        <v>0</v>
      </c>
      <c r="H26" s="407"/>
      <c r="I26" s="407"/>
      <c r="J26" s="407"/>
      <c r="K26" s="407">
        <f t="shared" si="2"/>
        <v>0</v>
      </c>
      <c r="L26" s="408">
        <f t="shared" si="3"/>
        <v>0</v>
      </c>
      <c r="M26" s="407">
        <f t="shared" si="4"/>
        <v>0</v>
      </c>
      <c r="N26" s="409">
        <f t="shared" si="5"/>
        <v>0</v>
      </c>
      <c r="O26" s="410"/>
      <c r="P26" s="411"/>
      <c r="Q26" s="412"/>
      <c r="R26" s="737"/>
      <c r="S26" s="738"/>
      <c r="T26" s="739"/>
      <c r="U26" s="740"/>
      <c r="V26" s="738"/>
      <c r="W26" s="739"/>
    </row>
    <row r="27" spans="1:23">
      <c r="A27" s="98"/>
      <c r="B27" s="99" t="s">
        <v>49</v>
      </c>
      <c r="C27" s="407"/>
      <c r="D27" s="407"/>
      <c r="E27" s="407"/>
      <c r="F27" s="407"/>
      <c r="G27" s="407">
        <f t="shared" si="1"/>
        <v>0</v>
      </c>
      <c r="H27" s="407"/>
      <c r="I27" s="407"/>
      <c r="J27" s="407"/>
      <c r="K27" s="407">
        <f t="shared" si="2"/>
        <v>0</v>
      </c>
      <c r="L27" s="408">
        <f t="shared" si="3"/>
        <v>0</v>
      </c>
      <c r="M27" s="407">
        <f t="shared" si="4"/>
        <v>0</v>
      </c>
      <c r="N27" s="409">
        <f t="shared" si="5"/>
        <v>0</v>
      </c>
      <c r="O27" s="410"/>
      <c r="P27" s="411"/>
      <c r="Q27" s="412"/>
      <c r="R27" s="737"/>
      <c r="S27" s="738"/>
      <c r="T27" s="739"/>
      <c r="U27" s="740"/>
      <c r="V27" s="738"/>
      <c r="W27" s="739"/>
    </row>
    <row r="28" spans="1:23" ht="14.25" customHeight="1">
      <c r="A28" s="100" t="s">
        <v>46</v>
      </c>
      <c r="B28" s="99"/>
      <c r="C28" s="407">
        <f>SUM(C29:C30)</f>
        <v>0</v>
      </c>
      <c r="D28" s="407">
        <f t="shared" ref="D28" si="12">SUM(D29:D30)</f>
        <v>0</v>
      </c>
      <c r="E28" s="407">
        <f t="shared" ref="E28" si="13">SUM(E29:E30)</f>
        <v>0</v>
      </c>
      <c r="F28" s="407">
        <f t="shared" ref="F28" si="14">SUM(F29:F30)</f>
        <v>0</v>
      </c>
      <c r="G28" s="407">
        <f t="shared" si="1"/>
        <v>0</v>
      </c>
      <c r="H28" s="407">
        <f t="shared" ref="H28" si="15">SUM(H29:H30)</f>
        <v>0</v>
      </c>
      <c r="I28" s="407">
        <f t="shared" ref="I28" si="16">SUM(I29:I30)</f>
        <v>0</v>
      </c>
      <c r="J28" s="407">
        <f t="shared" ref="J28" si="17">SUM(J29:J30)</f>
        <v>0</v>
      </c>
      <c r="K28" s="407">
        <f t="shared" si="2"/>
        <v>0</v>
      </c>
      <c r="L28" s="408">
        <f>IF(K28=0,0,K28/H28)</f>
        <v>0</v>
      </c>
      <c r="M28" s="407">
        <f t="shared" si="4"/>
        <v>0</v>
      </c>
      <c r="N28" s="409">
        <f>IF(M28=0,0,M28/H28)</f>
        <v>0</v>
      </c>
      <c r="O28" s="410"/>
      <c r="P28" s="411"/>
      <c r="Q28" s="412"/>
      <c r="R28" s="737"/>
      <c r="S28" s="738"/>
      <c r="T28" s="739"/>
      <c r="U28" s="740"/>
      <c r="V28" s="738"/>
      <c r="W28" s="739"/>
    </row>
    <row r="29" spans="1:23">
      <c r="A29" s="98"/>
      <c r="B29" s="99" t="s">
        <v>46</v>
      </c>
      <c r="C29" s="407"/>
      <c r="D29" s="407"/>
      <c r="E29" s="407"/>
      <c r="F29" s="407"/>
      <c r="G29" s="407">
        <f t="shared" si="1"/>
        <v>0</v>
      </c>
      <c r="H29" s="407"/>
      <c r="I29" s="407"/>
      <c r="J29" s="407"/>
      <c r="K29" s="407">
        <f t="shared" si="2"/>
        <v>0</v>
      </c>
      <c r="L29" s="408">
        <f t="shared" si="3"/>
        <v>0</v>
      </c>
      <c r="M29" s="407">
        <f t="shared" si="4"/>
        <v>0</v>
      </c>
      <c r="N29" s="409">
        <f t="shared" si="5"/>
        <v>0</v>
      </c>
      <c r="O29" s="410"/>
      <c r="P29" s="411"/>
      <c r="Q29" s="412"/>
      <c r="R29" s="737"/>
      <c r="S29" s="738"/>
      <c r="T29" s="739"/>
      <c r="U29" s="740"/>
      <c r="V29" s="738"/>
      <c r="W29" s="739"/>
    </row>
    <row r="30" spans="1:23">
      <c r="A30" s="98"/>
      <c r="B30" s="99" t="s">
        <v>49</v>
      </c>
      <c r="C30" s="407"/>
      <c r="D30" s="407"/>
      <c r="E30" s="407"/>
      <c r="F30" s="407"/>
      <c r="G30" s="407">
        <f t="shared" si="1"/>
        <v>0</v>
      </c>
      <c r="H30" s="407"/>
      <c r="I30" s="407"/>
      <c r="J30" s="407"/>
      <c r="K30" s="407">
        <f t="shared" si="2"/>
        <v>0</v>
      </c>
      <c r="L30" s="408">
        <f t="shared" si="3"/>
        <v>0</v>
      </c>
      <c r="M30" s="407">
        <f t="shared" si="4"/>
        <v>0</v>
      </c>
      <c r="N30" s="409">
        <f t="shared" si="5"/>
        <v>0</v>
      </c>
      <c r="O30" s="410"/>
      <c r="P30" s="411"/>
      <c r="Q30" s="412"/>
      <c r="R30" s="737"/>
      <c r="S30" s="738"/>
      <c r="T30" s="739"/>
      <c r="U30" s="740"/>
      <c r="V30" s="738"/>
      <c r="W30" s="739"/>
    </row>
    <row r="31" spans="1:23" ht="14.25" customHeight="1">
      <c r="A31" s="100" t="s">
        <v>47</v>
      </c>
      <c r="B31" s="99"/>
      <c r="C31" s="407">
        <f>SUM(C32:C33)</f>
        <v>0</v>
      </c>
      <c r="D31" s="407">
        <f t="shared" ref="D31" si="18">SUM(D32:D33)</f>
        <v>0</v>
      </c>
      <c r="E31" s="407">
        <f t="shared" ref="E31" si="19">SUM(E32:E33)</f>
        <v>0</v>
      </c>
      <c r="F31" s="407">
        <f t="shared" ref="F31" si="20">SUM(F32:F33)</f>
        <v>0</v>
      </c>
      <c r="G31" s="407">
        <f t="shared" si="1"/>
        <v>0</v>
      </c>
      <c r="H31" s="407">
        <f t="shared" ref="H31" si="21">SUM(H32:H33)</f>
        <v>0</v>
      </c>
      <c r="I31" s="407">
        <f t="shared" ref="I31" si="22">SUM(I32:I33)</f>
        <v>0</v>
      </c>
      <c r="J31" s="407">
        <f t="shared" ref="J31" si="23">SUM(J32:J33)</f>
        <v>0</v>
      </c>
      <c r="K31" s="407">
        <f t="shared" si="2"/>
        <v>0</v>
      </c>
      <c r="L31" s="408">
        <f>IF(K31=0,0,K31/H31)</f>
        <v>0</v>
      </c>
      <c r="M31" s="407">
        <f t="shared" si="4"/>
        <v>0</v>
      </c>
      <c r="N31" s="409">
        <f>IF(M31=0,0,M31/H31)</f>
        <v>0</v>
      </c>
      <c r="O31" s="410"/>
      <c r="P31" s="411"/>
      <c r="Q31" s="412"/>
      <c r="R31" s="737"/>
      <c r="S31" s="738"/>
      <c r="T31" s="739"/>
      <c r="U31" s="740"/>
      <c r="V31" s="738"/>
      <c r="W31" s="739"/>
    </row>
    <row r="32" spans="1:23">
      <c r="A32" s="98"/>
      <c r="B32" s="99" t="s">
        <v>47</v>
      </c>
      <c r="C32" s="407"/>
      <c r="D32" s="413"/>
      <c r="E32" s="407"/>
      <c r="F32" s="413"/>
      <c r="G32" s="413">
        <f t="shared" si="1"/>
        <v>0</v>
      </c>
      <c r="H32" s="413"/>
      <c r="I32" s="413"/>
      <c r="J32" s="407"/>
      <c r="K32" s="413">
        <f t="shared" si="2"/>
        <v>0</v>
      </c>
      <c r="L32" s="414">
        <f t="shared" si="3"/>
        <v>0</v>
      </c>
      <c r="M32" s="413">
        <f t="shared" si="4"/>
        <v>0</v>
      </c>
      <c r="N32" s="415">
        <f t="shared" si="5"/>
        <v>0</v>
      </c>
      <c r="O32" s="410"/>
      <c r="P32" s="416"/>
      <c r="Q32" s="417"/>
      <c r="R32" s="737"/>
      <c r="S32" s="738"/>
      <c r="T32" s="739"/>
      <c r="U32" s="740"/>
      <c r="V32" s="738"/>
      <c r="W32" s="739"/>
    </row>
    <row r="33" spans="1:23" ht="12.75" customHeight="1">
      <c r="A33" s="98"/>
      <c r="B33" s="99" t="s">
        <v>49</v>
      </c>
      <c r="C33" s="407"/>
      <c r="D33" s="413"/>
      <c r="E33" s="407"/>
      <c r="F33" s="413"/>
      <c r="G33" s="413">
        <f t="shared" si="1"/>
        <v>0</v>
      </c>
      <c r="H33" s="413"/>
      <c r="I33" s="413"/>
      <c r="J33" s="407"/>
      <c r="K33" s="413">
        <f t="shared" si="2"/>
        <v>0</v>
      </c>
      <c r="L33" s="414">
        <f t="shared" si="3"/>
        <v>0</v>
      </c>
      <c r="M33" s="413">
        <f t="shared" si="4"/>
        <v>0</v>
      </c>
      <c r="N33" s="415">
        <f t="shared" si="5"/>
        <v>0</v>
      </c>
      <c r="O33" s="410"/>
      <c r="P33" s="416"/>
      <c r="Q33" s="417"/>
      <c r="R33" s="737"/>
      <c r="S33" s="738"/>
      <c r="T33" s="739"/>
      <c r="U33" s="740"/>
      <c r="V33" s="738"/>
      <c r="W33" s="739"/>
    </row>
    <row r="34" spans="1:23" ht="14.25" customHeight="1">
      <c r="A34" s="98" t="s">
        <v>48</v>
      </c>
      <c r="B34" s="99"/>
      <c r="C34" s="407">
        <f>SUM(C35:C36)</f>
        <v>0</v>
      </c>
      <c r="D34" s="407">
        <f t="shared" ref="D34" si="24">SUM(D35:D36)</f>
        <v>0</v>
      </c>
      <c r="E34" s="407">
        <f t="shared" ref="E34" si="25">SUM(E35:E36)</f>
        <v>0</v>
      </c>
      <c r="F34" s="407">
        <f t="shared" ref="F34" si="26">SUM(F35:F36)</f>
        <v>0</v>
      </c>
      <c r="G34" s="407">
        <f t="shared" si="1"/>
        <v>0</v>
      </c>
      <c r="H34" s="407">
        <f t="shared" ref="H34" si="27">SUM(H35:H36)</f>
        <v>0</v>
      </c>
      <c r="I34" s="407">
        <f t="shared" ref="I34" si="28">SUM(I35:I36)</f>
        <v>0</v>
      </c>
      <c r="J34" s="407">
        <f t="shared" ref="J34" si="29">SUM(J35:J36)</f>
        <v>0</v>
      </c>
      <c r="K34" s="407">
        <f t="shared" si="2"/>
        <v>0</v>
      </c>
      <c r="L34" s="408">
        <f>IF(K34=0,0,K34/H34)</f>
        <v>0</v>
      </c>
      <c r="M34" s="407">
        <f t="shared" si="4"/>
        <v>0</v>
      </c>
      <c r="N34" s="409">
        <f>IF(M34=0,0,M34/H34)</f>
        <v>0</v>
      </c>
      <c r="O34" s="410"/>
      <c r="P34" s="411"/>
      <c r="Q34" s="412"/>
      <c r="R34" s="737"/>
      <c r="S34" s="738"/>
      <c r="T34" s="739"/>
      <c r="U34" s="740"/>
      <c r="V34" s="738"/>
      <c r="W34" s="739"/>
    </row>
    <row r="35" spans="1:23">
      <c r="A35" s="100"/>
      <c r="B35" s="99" t="s">
        <v>48</v>
      </c>
      <c r="C35" s="407"/>
      <c r="D35" s="407"/>
      <c r="E35" s="407"/>
      <c r="F35" s="407"/>
      <c r="G35" s="407">
        <f t="shared" si="1"/>
        <v>0</v>
      </c>
      <c r="H35" s="407"/>
      <c r="I35" s="407"/>
      <c r="J35" s="407"/>
      <c r="K35" s="407">
        <f t="shared" si="2"/>
        <v>0</v>
      </c>
      <c r="L35" s="408">
        <f t="shared" si="3"/>
        <v>0</v>
      </c>
      <c r="M35" s="407">
        <f t="shared" si="4"/>
        <v>0</v>
      </c>
      <c r="N35" s="409">
        <f t="shared" si="5"/>
        <v>0</v>
      </c>
      <c r="O35" s="410"/>
      <c r="P35" s="411"/>
      <c r="Q35" s="412"/>
      <c r="R35" s="737"/>
      <c r="S35" s="738"/>
      <c r="T35" s="739"/>
      <c r="U35" s="740"/>
      <c r="V35" s="738"/>
      <c r="W35" s="739"/>
    </row>
    <row r="36" spans="1:23">
      <c r="A36" s="98"/>
      <c r="B36" s="99" t="s">
        <v>49</v>
      </c>
      <c r="C36" s="407"/>
      <c r="D36" s="407"/>
      <c r="E36" s="407"/>
      <c r="F36" s="407"/>
      <c r="G36" s="407">
        <f t="shared" si="1"/>
        <v>0</v>
      </c>
      <c r="H36" s="407"/>
      <c r="I36" s="407"/>
      <c r="J36" s="407"/>
      <c r="K36" s="407">
        <f t="shared" si="2"/>
        <v>0</v>
      </c>
      <c r="L36" s="408">
        <f t="shared" si="3"/>
        <v>0</v>
      </c>
      <c r="M36" s="407">
        <f t="shared" si="4"/>
        <v>0</v>
      </c>
      <c r="N36" s="409">
        <f t="shared" si="5"/>
        <v>0</v>
      </c>
      <c r="O36" s="410"/>
      <c r="P36" s="411"/>
      <c r="Q36" s="412"/>
      <c r="R36" s="737"/>
      <c r="S36" s="738"/>
      <c r="T36" s="739"/>
      <c r="U36" s="740"/>
      <c r="V36" s="738"/>
      <c r="W36" s="739"/>
    </row>
    <row r="37" spans="1:23" ht="14.25" customHeight="1">
      <c r="A37" s="98" t="s">
        <v>219</v>
      </c>
      <c r="B37" s="99"/>
      <c r="C37" s="407">
        <f>SUM(C38:C39)</f>
        <v>0</v>
      </c>
      <c r="D37" s="407">
        <f t="shared" ref="D37" si="30">SUM(D38:D39)</f>
        <v>0</v>
      </c>
      <c r="E37" s="407">
        <f t="shared" ref="E37" si="31">SUM(E38:E39)</f>
        <v>0</v>
      </c>
      <c r="F37" s="407">
        <f t="shared" ref="F37" si="32">SUM(F38:F39)</f>
        <v>0</v>
      </c>
      <c r="G37" s="407">
        <f t="shared" si="1"/>
        <v>0</v>
      </c>
      <c r="H37" s="407">
        <f t="shared" ref="H37" si="33">SUM(H38:H39)</f>
        <v>0</v>
      </c>
      <c r="I37" s="407">
        <f t="shared" ref="I37" si="34">SUM(I38:I39)</f>
        <v>0</v>
      </c>
      <c r="J37" s="407">
        <f t="shared" ref="J37" si="35">SUM(J38:J39)</f>
        <v>0</v>
      </c>
      <c r="K37" s="407">
        <f t="shared" si="2"/>
        <v>0</v>
      </c>
      <c r="L37" s="408">
        <f>IF(K37=0,0,K37/H37)</f>
        <v>0</v>
      </c>
      <c r="M37" s="407">
        <f t="shared" si="4"/>
        <v>0</v>
      </c>
      <c r="N37" s="409">
        <f>IF(M37=0,0,M37/H37)</f>
        <v>0</v>
      </c>
      <c r="O37" s="410"/>
      <c r="P37" s="411"/>
      <c r="Q37" s="412"/>
      <c r="R37" s="737"/>
      <c r="S37" s="738"/>
      <c r="T37" s="739"/>
      <c r="U37" s="740"/>
      <c r="V37" s="738"/>
      <c r="W37" s="739"/>
    </row>
    <row r="38" spans="1:23" ht="14.25" customHeight="1">
      <c r="A38" s="100"/>
      <c r="B38" s="99" t="s">
        <v>219</v>
      </c>
      <c r="C38" s="407"/>
      <c r="D38" s="413"/>
      <c r="E38" s="407"/>
      <c r="F38" s="413"/>
      <c r="G38" s="413">
        <f t="shared" si="1"/>
        <v>0</v>
      </c>
      <c r="H38" s="413"/>
      <c r="I38" s="413"/>
      <c r="J38" s="407"/>
      <c r="K38" s="413">
        <f t="shared" si="2"/>
        <v>0</v>
      </c>
      <c r="L38" s="414">
        <f t="shared" si="3"/>
        <v>0</v>
      </c>
      <c r="M38" s="407">
        <f t="shared" si="4"/>
        <v>0</v>
      </c>
      <c r="N38" s="409">
        <f t="shared" si="5"/>
        <v>0</v>
      </c>
      <c r="O38" s="410"/>
      <c r="P38" s="411"/>
      <c r="Q38" s="412"/>
      <c r="R38" s="737"/>
      <c r="S38" s="738"/>
      <c r="T38" s="739"/>
      <c r="U38" s="740"/>
      <c r="V38" s="738"/>
      <c r="W38" s="739"/>
    </row>
    <row r="39" spans="1:23">
      <c r="A39" s="98"/>
      <c r="B39" s="99" t="s">
        <v>49</v>
      </c>
      <c r="C39" s="407"/>
      <c r="D39" s="413"/>
      <c r="E39" s="407"/>
      <c r="F39" s="413"/>
      <c r="G39" s="413">
        <f t="shared" si="1"/>
        <v>0</v>
      </c>
      <c r="H39" s="413"/>
      <c r="I39" s="413"/>
      <c r="J39" s="407"/>
      <c r="K39" s="413">
        <f t="shared" si="2"/>
        <v>0</v>
      </c>
      <c r="L39" s="414">
        <f t="shared" si="3"/>
        <v>0</v>
      </c>
      <c r="M39" s="407">
        <f t="shared" si="4"/>
        <v>0</v>
      </c>
      <c r="N39" s="409">
        <f t="shared" si="5"/>
        <v>0</v>
      </c>
      <c r="O39" s="410"/>
      <c r="P39" s="411"/>
      <c r="Q39" s="412"/>
      <c r="R39" s="737"/>
      <c r="S39" s="738"/>
      <c r="T39" s="739"/>
      <c r="U39" s="740"/>
      <c r="V39" s="738"/>
      <c r="W39" s="739"/>
    </row>
    <row r="40" spans="1:23" ht="9.75" customHeight="1">
      <c r="A40" s="98"/>
      <c r="B40" s="99"/>
      <c r="C40" s="407"/>
      <c r="D40" s="407"/>
      <c r="E40" s="407"/>
      <c r="F40" s="407"/>
      <c r="G40" s="407">
        <f t="shared" si="1"/>
        <v>0</v>
      </c>
      <c r="H40" s="407"/>
      <c r="I40" s="407"/>
      <c r="J40" s="407"/>
      <c r="K40" s="407">
        <f t="shared" si="2"/>
        <v>0</v>
      </c>
      <c r="L40" s="408">
        <f t="shared" si="3"/>
        <v>0</v>
      </c>
      <c r="M40" s="407">
        <f t="shared" si="4"/>
        <v>0</v>
      </c>
      <c r="N40" s="409">
        <f t="shared" si="5"/>
        <v>0</v>
      </c>
      <c r="O40" s="410"/>
      <c r="P40" s="411"/>
      <c r="Q40" s="412"/>
      <c r="R40" s="737"/>
      <c r="S40" s="738"/>
      <c r="T40" s="739"/>
      <c r="U40" s="740"/>
      <c r="V40" s="738"/>
      <c r="W40" s="739"/>
    </row>
    <row r="41" spans="1:23" ht="14.25" customHeight="1">
      <c r="A41" s="104" t="s">
        <v>170</v>
      </c>
      <c r="B41" s="101"/>
      <c r="C41" s="418">
        <f>SUM(C21:C40)/2</f>
        <v>0</v>
      </c>
      <c r="D41" s="418">
        <f t="shared" ref="D41:J41" si="36">SUM(D21:D40)/2</f>
        <v>0</v>
      </c>
      <c r="E41" s="418">
        <f t="shared" si="36"/>
        <v>0</v>
      </c>
      <c r="F41" s="418">
        <f t="shared" si="36"/>
        <v>0</v>
      </c>
      <c r="G41" s="418">
        <f t="shared" si="1"/>
        <v>0</v>
      </c>
      <c r="H41" s="418">
        <f t="shared" si="36"/>
        <v>0</v>
      </c>
      <c r="I41" s="418">
        <f t="shared" si="36"/>
        <v>0</v>
      </c>
      <c r="J41" s="418">
        <f t="shared" si="36"/>
        <v>0</v>
      </c>
      <c r="K41" s="419">
        <f t="shared" si="2"/>
        <v>0</v>
      </c>
      <c r="L41" s="420">
        <f t="shared" si="3"/>
        <v>0</v>
      </c>
      <c r="M41" s="418">
        <f t="shared" si="4"/>
        <v>0</v>
      </c>
      <c r="N41" s="421">
        <f t="shared" si="5"/>
        <v>0</v>
      </c>
      <c r="O41" s="422"/>
      <c r="P41" s="423"/>
      <c r="Q41" s="424"/>
      <c r="R41" s="741"/>
      <c r="S41" s="742"/>
      <c r="T41" s="743"/>
      <c r="U41" s="744"/>
      <c r="V41" s="742"/>
      <c r="W41" s="743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5" sqref="T25"/>
      <selection pane="bottomLeft" activeCell="I15" sqref="I15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7"/>
      <c r="U1" s="777"/>
      <c r="V1" s="777"/>
      <c r="W1" s="777"/>
    </row>
    <row r="2" spans="1:24" ht="24.75" customHeight="1">
      <c r="A2" s="659" t="str">
        <f>封面!$A$4</f>
        <v>彰化縣地方教育發展基金－彰化縣秀水鄉馬興國民小學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</row>
    <row r="3" spans="1:24" ht="20.25" customHeight="1">
      <c r="A3" s="715" t="s">
        <v>66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5"/>
      <c r="Q3" s="715"/>
      <c r="R3" s="715"/>
      <c r="S3" s="715"/>
      <c r="T3" s="715"/>
      <c r="U3" s="715"/>
      <c r="V3" s="715"/>
      <c r="W3" s="715"/>
    </row>
    <row r="4" spans="1:24" ht="20.25" customHeight="1">
      <c r="A4" s="657" t="str">
        <f>封面!$E$10&amp;封面!$H$10&amp;封面!$I$10&amp;封面!$J$10&amp;封面!$K$10&amp;封面!L10</f>
        <v>中華民國112年8月份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</row>
    <row r="5" spans="1:24" ht="16.5">
      <c r="S5" s="779" t="s">
        <v>1</v>
      </c>
      <c r="T5" s="626"/>
      <c r="U5" s="626"/>
      <c r="V5" s="626"/>
      <c r="W5" s="626"/>
    </row>
    <row r="6" spans="1:24" ht="14.25" hidden="1"/>
    <row r="7" spans="1:24" ht="8.1" customHeight="1">
      <c r="A7" s="720" t="s">
        <v>6</v>
      </c>
      <c r="B7" s="778"/>
      <c r="C7" s="778"/>
      <c r="D7" s="778"/>
      <c r="E7" s="778"/>
      <c r="F7" s="778"/>
      <c r="G7" s="778"/>
      <c r="H7" s="778"/>
      <c r="I7" s="778"/>
      <c r="J7" s="778"/>
      <c r="K7" s="778"/>
      <c r="L7" s="778"/>
      <c r="M7" s="778"/>
      <c r="N7" s="720" t="s">
        <v>68</v>
      </c>
      <c r="O7" s="776"/>
      <c r="P7" s="720" t="s">
        <v>69</v>
      </c>
      <c r="Q7" s="776"/>
      <c r="R7" s="720" t="s">
        <v>67</v>
      </c>
      <c r="S7" s="776"/>
      <c r="T7" s="776"/>
      <c r="U7" s="776"/>
      <c r="V7" s="776"/>
      <c r="W7" s="776"/>
      <c r="X7" s="6"/>
    </row>
    <row r="8" spans="1:24" ht="8.1" customHeight="1">
      <c r="A8" s="778"/>
      <c r="B8" s="778"/>
      <c r="C8" s="778"/>
      <c r="D8" s="778"/>
      <c r="E8" s="778"/>
      <c r="F8" s="778"/>
      <c r="G8" s="778"/>
      <c r="H8" s="778"/>
      <c r="I8" s="778"/>
      <c r="J8" s="778"/>
      <c r="K8" s="778"/>
      <c r="L8" s="778"/>
      <c r="M8" s="778"/>
      <c r="N8" s="776"/>
      <c r="O8" s="776"/>
      <c r="P8" s="776"/>
      <c r="Q8" s="776"/>
      <c r="R8" s="776"/>
      <c r="S8" s="776"/>
      <c r="T8" s="776"/>
      <c r="U8" s="776"/>
      <c r="V8" s="776"/>
      <c r="W8" s="776"/>
      <c r="X8" s="6"/>
    </row>
    <row r="9" spans="1:24" ht="8.1" customHeight="1">
      <c r="A9" s="778"/>
      <c r="B9" s="778"/>
      <c r="C9" s="778"/>
      <c r="D9" s="778"/>
      <c r="E9" s="778"/>
      <c r="F9" s="778"/>
      <c r="G9" s="778"/>
      <c r="H9" s="778"/>
      <c r="I9" s="778"/>
      <c r="J9" s="778"/>
      <c r="K9" s="778"/>
      <c r="L9" s="778"/>
      <c r="M9" s="778"/>
      <c r="N9" s="776"/>
      <c r="O9" s="776"/>
      <c r="P9" s="776"/>
      <c r="Q9" s="776"/>
      <c r="R9" s="720" t="s">
        <v>4</v>
      </c>
      <c r="S9" s="776"/>
      <c r="T9" s="776"/>
      <c r="U9" s="776"/>
      <c r="V9" s="80"/>
      <c r="W9" s="780" t="s">
        <v>151</v>
      </c>
      <c r="X9" s="6"/>
    </row>
    <row r="10" spans="1:24" ht="8.1" customHeight="1">
      <c r="A10" s="778"/>
      <c r="B10" s="778"/>
      <c r="C10" s="778"/>
      <c r="D10" s="778"/>
      <c r="E10" s="778"/>
      <c r="F10" s="778"/>
      <c r="G10" s="778"/>
      <c r="H10" s="778"/>
      <c r="I10" s="778"/>
      <c r="J10" s="778"/>
      <c r="K10" s="778"/>
      <c r="L10" s="778"/>
      <c r="M10" s="778"/>
      <c r="N10" s="776"/>
      <c r="O10" s="776"/>
      <c r="P10" s="776"/>
      <c r="Q10" s="776"/>
      <c r="R10" s="776"/>
      <c r="S10" s="776"/>
      <c r="T10" s="776"/>
      <c r="U10" s="776"/>
      <c r="V10" s="81"/>
      <c r="W10" s="724"/>
      <c r="X10" s="6"/>
    </row>
    <row r="11" spans="1:24" hidden="1">
      <c r="A11" s="778"/>
      <c r="B11" s="778"/>
      <c r="C11" s="778"/>
      <c r="D11" s="778"/>
      <c r="E11" s="778"/>
      <c r="F11" s="778"/>
      <c r="G11" s="778"/>
      <c r="H11" s="778"/>
      <c r="I11" s="778"/>
      <c r="J11" s="778"/>
      <c r="K11" s="778"/>
      <c r="L11" s="778"/>
      <c r="M11" s="778"/>
      <c r="N11" s="776"/>
      <c r="O11" s="776"/>
      <c r="P11" s="776"/>
      <c r="Q11" s="776"/>
      <c r="R11" s="776"/>
      <c r="S11" s="776"/>
      <c r="T11" s="776"/>
      <c r="U11" s="776"/>
      <c r="V11" s="81"/>
      <c r="W11" s="81"/>
      <c r="X11" s="6"/>
    </row>
    <row r="12" spans="1:24" ht="15.75" customHeight="1">
      <c r="A12" s="255"/>
      <c r="B12" s="87" t="s">
        <v>467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25724025</v>
      </c>
      <c r="R12" s="263"/>
      <c r="S12" s="262">
        <v>-8386975</v>
      </c>
      <c r="T12" s="262"/>
      <c r="U12" s="262"/>
      <c r="V12" s="263"/>
      <c r="W12" s="262" t="s">
        <v>652</v>
      </c>
      <c r="X12" s="6"/>
    </row>
    <row r="13" spans="1:24" ht="15.75" customHeight="1">
      <c r="A13" s="257"/>
      <c r="B13" s="88"/>
      <c r="C13" s="370" t="s">
        <v>469</v>
      </c>
      <c r="D13" s="370"/>
      <c r="E13" s="370"/>
      <c r="F13" s="88"/>
      <c r="G13" s="88" t="s">
        <v>535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16316236</v>
      </c>
      <c r="R13" s="265"/>
      <c r="S13" s="266">
        <v>16316236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0"/>
      <c r="D14" s="370" t="s">
        <v>536</v>
      </c>
      <c r="E14" s="370"/>
      <c r="F14" s="88"/>
      <c r="G14" s="88"/>
      <c r="H14" s="88"/>
      <c r="I14" s="88" t="s">
        <v>537</v>
      </c>
      <c r="J14" s="88"/>
      <c r="K14" s="88"/>
      <c r="L14" s="88"/>
      <c r="M14" s="258"/>
      <c r="N14" s="264"/>
      <c r="O14" s="265"/>
      <c r="P14" s="265"/>
      <c r="Q14" s="266">
        <v>16017526</v>
      </c>
      <c r="R14" s="265"/>
      <c r="S14" s="266">
        <v>16017526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0"/>
      <c r="D15" s="370" t="s">
        <v>538</v>
      </c>
      <c r="E15" s="370"/>
      <c r="F15" s="88"/>
      <c r="G15" s="88"/>
      <c r="H15" s="88"/>
      <c r="I15" s="88" t="s">
        <v>539</v>
      </c>
      <c r="J15" s="88"/>
      <c r="K15" s="88"/>
      <c r="L15" s="88"/>
      <c r="M15" s="258"/>
      <c r="N15" s="264"/>
      <c r="O15" s="265"/>
      <c r="P15" s="265"/>
      <c r="Q15" s="266">
        <v>298710</v>
      </c>
      <c r="R15" s="265"/>
      <c r="S15" s="266">
        <v>298710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0" t="s">
        <v>540</v>
      </c>
      <c r="D16" s="370"/>
      <c r="E16" s="370"/>
      <c r="F16" s="88"/>
      <c r="G16" s="88" t="s">
        <v>541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175056</v>
      </c>
      <c r="R16" s="265"/>
      <c r="S16" s="266">
        <v>175056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0"/>
      <c r="D17" s="370" t="s">
        <v>542</v>
      </c>
      <c r="E17" s="370"/>
      <c r="F17" s="88"/>
      <c r="G17" s="88"/>
      <c r="H17" s="88"/>
      <c r="I17" s="88" t="s">
        <v>543</v>
      </c>
      <c r="J17" s="88"/>
      <c r="K17" s="88"/>
      <c r="L17" s="88"/>
      <c r="M17" s="258"/>
      <c r="N17" s="264"/>
      <c r="O17" s="265"/>
      <c r="P17" s="265"/>
      <c r="Q17" s="266">
        <v>175056</v>
      </c>
      <c r="R17" s="265"/>
      <c r="S17" s="266">
        <v>175056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0" t="s">
        <v>544</v>
      </c>
      <c r="D18" s="370"/>
      <c r="E18" s="370"/>
      <c r="F18" s="88"/>
      <c r="G18" s="88" t="s">
        <v>545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361120</v>
      </c>
      <c r="R18" s="265"/>
      <c r="S18" s="266">
        <v>361120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0"/>
      <c r="D19" s="370" t="s">
        <v>546</v>
      </c>
      <c r="E19" s="370"/>
      <c r="F19" s="88"/>
      <c r="G19" s="88"/>
      <c r="H19" s="88"/>
      <c r="I19" s="88" t="s">
        <v>547</v>
      </c>
      <c r="J19" s="88"/>
      <c r="K19" s="88"/>
      <c r="L19" s="88"/>
      <c r="M19" s="258"/>
      <c r="N19" s="264"/>
      <c r="O19" s="265"/>
      <c r="P19" s="265"/>
      <c r="Q19" s="266">
        <v>361120</v>
      </c>
      <c r="R19" s="265"/>
      <c r="S19" s="266">
        <v>361120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0" t="s">
        <v>548</v>
      </c>
      <c r="D20" s="370"/>
      <c r="E20" s="370"/>
      <c r="F20" s="88"/>
      <c r="G20" s="88" t="s">
        <v>549</v>
      </c>
      <c r="H20" s="88"/>
      <c r="I20" s="88"/>
      <c r="J20" s="88"/>
      <c r="K20" s="88"/>
      <c r="L20" s="88"/>
      <c r="M20" s="258"/>
      <c r="N20" s="264"/>
      <c r="O20" s="265"/>
      <c r="P20" s="265"/>
      <c r="Q20" s="266">
        <v>5622512</v>
      </c>
      <c r="R20" s="265"/>
      <c r="S20" s="266">
        <v>5622512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0"/>
      <c r="D21" s="370" t="s">
        <v>550</v>
      </c>
      <c r="E21" s="370"/>
      <c r="F21" s="88"/>
      <c r="G21" s="88"/>
      <c r="H21" s="88"/>
      <c r="I21" s="88" t="s">
        <v>551</v>
      </c>
      <c r="J21" s="88"/>
      <c r="K21" s="88"/>
      <c r="L21" s="88"/>
      <c r="M21" s="258"/>
      <c r="N21" s="264"/>
      <c r="O21" s="265"/>
      <c r="P21" s="265"/>
      <c r="Q21" s="266">
        <v>2929300</v>
      </c>
      <c r="R21" s="265"/>
      <c r="S21" s="266">
        <v>2929300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0"/>
      <c r="D22" s="370" t="s">
        <v>552</v>
      </c>
      <c r="E22" s="370"/>
      <c r="F22" s="88"/>
      <c r="G22" s="88"/>
      <c r="H22" s="88"/>
      <c r="I22" s="88" t="s">
        <v>553</v>
      </c>
      <c r="J22" s="88"/>
      <c r="K22" s="88"/>
      <c r="L22" s="88"/>
      <c r="M22" s="258"/>
      <c r="N22" s="264"/>
      <c r="O22" s="265"/>
      <c r="P22" s="265"/>
      <c r="Q22" s="266">
        <v>2693212</v>
      </c>
      <c r="R22" s="265"/>
      <c r="S22" s="266">
        <v>2693212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554</v>
      </c>
      <c r="D23" s="88"/>
      <c r="E23" s="88"/>
      <c r="F23" s="88"/>
      <c r="G23" s="88" t="s">
        <v>555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1752780</v>
      </c>
      <c r="R23" s="265"/>
      <c r="S23" s="266">
        <v>1752780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556</v>
      </c>
      <c r="E24" s="88"/>
      <c r="F24" s="88"/>
      <c r="G24" s="88"/>
      <c r="H24" s="88"/>
      <c r="I24" s="88" t="s">
        <v>557</v>
      </c>
      <c r="J24" s="88"/>
      <c r="K24" s="88"/>
      <c r="L24" s="88"/>
      <c r="M24" s="258"/>
      <c r="N24" s="264"/>
      <c r="O24" s="265"/>
      <c r="P24" s="265"/>
      <c r="Q24" s="266">
        <v>1752780</v>
      </c>
      <c r="R24" s="265"/>
      <c r="S24" s="266">
        <v>1752780</v>
      </c>
      <c r="T24" s="266"/>
      <c r="U24" s="266"/>
      <c r="V24" s="265"/>
      <c r="W24" s="265"/>
      <c r="X24" s="6"/>
    </row>
    <row r="25" spans="1:24" ht="15.75" customHeight="1">
      <c r="A25" s="257"/>
      <c r="B25" s="88"/>
      <c r="C25" s="88" t="s">
        <v>558</v>
      </c>
      <c r="D25" s="88"/>
      <c r="E25" s="88"/>
      <c r="F25" s="88"/>
      <c r="G25" s="88" t="s">
        <v>559</v>
      </c>
      <c r="H25" s="88"/>
      <c r="I25" s="88"/>
      <c r="J25" s="88"/>
      <c r="K25" s="88"/>
      <c r="L25" s="88"/>
      <c r="M25" s="258"/>
      <c r="N25" s="264"/>
      <c r="O25" s="265"/>
      <c r="P25" s="265"/>
      <c r="Q25" s="266">
        <v>1496321</v>
      </c>
      <c r="R25" s="265"/>
      <c r="S25" s="266">
        <v>1496321</v>
      </c>
      <c r="T25" s="266"/>
      <c r="U25" s="266"/>
      <c r="V25" s="265"/>
      <c r="W25" s="265"/>
      <c r="X25" s="6"/>
    </row>
    <row r="26" spans="1:24" ht="15.75" customHeight="1">
      <c r="A26" s="257"/>
      <c r="B26" s="88"/>
      <c r="C26" s="88"/>
      <c r="D26" s="88" t="s">
        <v>560</v>
      </c>
      <c r="E26" s="88"/>
      <c r="F26" s="88"/>
      <c r="G26" s="88"/>
      <c r="H26" s="88"/>
      <c r="I26" s="88" t="s">
        <v>561</v>
      </c>
      <c r="J26" s="88"/>
      <c r="K26" s="88"/>
      <c r="L26" s="88"/>
      <c r="M26" s="258"/>
      <c r="N26" s="264"/>
      <c r="O26" s="265"/>
      <c r="P26" s="265"/>
      <c r="Q26" s="266">
        <v>1368321</v>
      </c>
      <c r="R26" s="265"/>
      <c r="S26" s="266">
        <v>1368321</v>
      </c>
      <c r="T26" s="266"/>
      <c r="U26" s="266"/>
      <c r="V26" s="265"/>
      <c r="W26" s="265"/>
      <c r="X26" s="6"/>
    </row>
    <row r="27" spans="1:24" ht="15.75" customHeight="1">
      <c r="A27" s="257"/>
      <c r="B27" s="88"/>
      <c r="C27" s="88"/>
      <c r="D27" s="88" t="s">
        <v>562</v>
      </c>
      <c r="E27" s="88"/>
      <c r="F27" s="88"/>
      <c r="G27" s="88"/>
      <c r="H27" s="88"/>
      <c r="I27" s="88" t="s">
        <v>563</v>
      </c>
      <c r="J27" s="88"/>
      <c r="K27" s="88"/>
      <c r="L27" s="88"/>
      <c r="M27" s="258"/>
      <c r="N27" s="264"/>
      <c r="O27" s="265"/>
      <c r="P27" s="265"/>
      <c r="Q27" s="266">
        <v>128000</v>
      </c>
      <c r="R27" s="265"/>
      <c r="S27" s="266">
        <v>128000</v>
      </c>
      <c r="T27" s="266"/>
      <c r="U27" s="266"/>
      <c r="V27" s="265"/>
      <c r="W27" s="265"/>
      <c r="X27" s="6"/>
    </row>
    <row r="28" spans="1:24" ht="15.75" customHeight="1">
      <c r="A28" s="257"/>
      <c r="B28" s="88" t="s">
        <v>521</v>
      </c>
      <c r="C28" s="88"/>
      <c r="D28" s="88"/>
      <c r="E28" s="88"/>
      <c r="F28" s="88" t="s">
        <v>564</v>
      </c>
      <c r="G28" s="88"/>
      <c r="H28" s="88"/>
      <c r="I28" s="88"/>
      <c r="J28" s="88"/>
      <c r="K28" s="88"/>
      <c r="L28" s="88"/>
      <c r="M28" s="258"/>
      <c r="N28" s="264"/>
      <c r="O28" s="266">
        <v>1265000</v>
      </c>
      <c r="P28" s="265"/>
      <c r="Q28" s="266">
        <v>634451</v>
      </c>
      <c r="R28" s="265"/>
      <c r="S28" s="266">
        <v>-630549</v>
      </c>
      <c r="T28" s="266"/>
      <c r="U28" s="266"/>
      <c r="V28" s="265"/>
      <c r="W28" s="266" t="s">
        <v>565</v>
      </c>
      <c r="X28" s="6"/>
    </row>
    <row r="29" spans="1:24" ht="15.75" customHeight="1">
      <c r="A29" s="257"/>
      <c r="B29" s="88"/>
      <c r="C29" s="88" t="s">
        <v>522</v>
      </c>
      <c r="D29" s="88"/>
      <c r="E29" s="88"/>
      <c r="F29" s="88"/>
      <c r="G29" s="88" t="s">
        <v>566</v>
      </c>
      <c r="H29" s="88"/>
      <c r="I29" s="88"/>
      <c r="J29" s="88"/>
      <c r="K29" s="88"/>
      <c r="L29" s="88"/>
      <c r="M29" s="258"/>
      <c r="N29" s="264"/>
      <c r="O29" s="265"/>
      <c r="P29" s="265"/>
      <c r="Q29" s="266">
        <v>138228</v>
      </c>
      <c r="R29" s="265"/>
      <c r="S29" s="266">
        <v>138228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/>
      <c r="D30" s="88" t="s">
        <v>567</v>
      </c>
      <c r="E30" s="88"/>
      <c r="F30" s="88"/>
      <c r="G30" s="88"/>
      <c r="H30" s="88"/>
      <c r="I30" s="88" t="s">
        <v>568</v>
      </c>
      <c r="J30" s="88"/>
      <c r="K30" s="88"/>
      <c r="L30" s="88"/>
      <c r="M30" s="258"/>
      <c r="N30" s="264"/>
      <c r="O30" s="265"/>
      <c r="P30" s="265"/>
      <c r="Q30" s="266">
        <v>105603</v>
      </c>
      <c r="R30" s="265"/>
      <c r="S30" s="266">
        <v>105603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569</v>
      </c>
      <c r="E31" s="88"/>
      <c r="F31" s="88"/>
      <c r="G31" s="88"/>
      <c r="H31" s="88"/>
      <c r="I31" s="88" t="s">
        <v>570</v>
      </c>
      <c r="J31" s="88"/>
      <c r="K31" s="88"/>
      <c r="L31" s="88"/>
      <c r="M31" s="258"/>
      <c r="N31" s="264"/>
      <c r="O31" s="265"/>
      <c r="P31" s="265"/>
      <c r="Q31" s="266">
        <v>32625</v>
      </c>
      <c r="R31" s="265"/>
      <c r="S31" s="266">
        <v>32625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571</v>
      </c>
      <c r="D32" s="88"/>
      <c r="E32" s="88"/>
      <c r="F32" s="88"/>
      <c r="G32" s="88" t="s">
        <v>572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15677</v>
      </c>
      <c r="R32" s="265"/>
      <c r="S32" s="266">
        <v>15677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573</v>
      </c>
      <c r="E33" s="88"/>
      <c r="F33" s="88"/>
      <c r="G33" s="88"/>
      <c r="H33" s="88"/>
      <c r="I33" s="88" t="s">
        <v>574</v>
      </c>
      <c r="J33" s="88"/>
      <c r="K33" s="88"/>
      <c r="L33" s="88"/>
      <c r="M33" s="258"/>
      <c r="N33" s="264"/>
      <c r="O33" s="265"/>
      <c r="P33" s="265"/>
      <c r="Q33" s="266">
        <v>3120</v>
      </c>
      <c r="R33" s="265"/>
      <c r="S33" s="266">
        <v>3120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/>
      <c r="D34" s="88" t="s">
        <v>575</v>
      </c>
      <c r="E34" s="88"/>
      <c r="F34" s="88"/>
      <c r="G34" s="88"/>
      <c r="H34" s="88"/>
      <c r="I34" s="88" t="s">
        <v>576</v>
      </c>
      <c r="J34" s="88"/>
      <c r="K34" s="88"/>
      <c r="L34" s="88"/>
      <c r="M34" s="258"/>
      <c r="N34" s="264"/>
      <c r="O34" s="265"/>
      <c r="P34" s="265"/>
      <c r="Q34" s="266">
        <v>12557</v>
      </c>
      <c r="R34" s="265"/>
      <c r="S34" s="266">
        <v>12557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 t="s">
        <v>577</v>
      </c>
      <c r="D35" s="88"/>
      <c r="E35" s="88"/>
      <c r="F35" s="88"/>
      <c r="G35" s="88" t="s">
        <v>578</v>
      </c>
      <c r="H35" s="88"/>
      <c r="I35" s="88"/>
      <c r="J35" s="88"/>
      <c r="K35" s="88"/>
      <c r="L35" s="88"/>
      <c r="M35" s="258"/>
      <c r="N35" s="264"/>
      <c r="O35" s="265"/>
      <c r="P35" s="265"/>
      <c r="Q35" s="266">
        <v>3952</v>
      </c>
      <c r="R35" s="265"/>
      <c r="S35" s="266">
        <v>3952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/>
      <c r="D36" s="89" t="s">
        <v>579</v>
      </c>
      <c r="E36" s="89"/>
      <c r="F36" s="89"/>
      <c r="G36" s="89"/>
      <c r="H36" s="89"/>
      <c r="I36" s="89" t="s">
        <v>580</v>
      </c>
      <c r="J36" s="89"/>
      <c r="K36" s="89"/>
      <c r="L36" s="89"/>
      <c r="M36" s="260"/>
      <c r="N36" s="267"/>
      <c r="O36" s="268"/>
      <c r="P36" s="268"/>
      <c r="Q36" s="269">
        <v>3952</v>
      </c>
      <c r="R36" s="268"/>
      <c r="S36" s="269">
        <v>3952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 t="s">
        <v>581</v>
      </c>
      <c r="D37" s="87"/>
      <c r="E37" s="87"/>
      <c r="F37" s="87"/>
      <c r="G37" s="87" t="s">
        <v>582</v>
      </c>
      <c r="H37" s="87"/>
      <c r="I37" s="87"/>
      <c r="J37" s="87"/>
      <c r="K37" s="87"/>
      <c r="L37" s="87"/>
      <c r="M37" s="256"/>
      <c r="N37" s="261"/>
      <c r="O37" s="263"/>
      <c r="P37" s="263"/>
      <c r="Q37" s="262">
        <v>27976</v>
      </c>
      <c r="R37" s="263"/>
      <c r="S37" s="262">
        <v>27976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583</v>
      </c>
      <c r="E38" s="88"/>
      <c r="F38" s="88"/>
      <c r="G38" s="88"/>
      <c r="H38" s="88"/>
      <c r="I38" s="88" t="s">
        <v>584</v>
      </c>
      <c r="J38" s="88"/>
      <c r="K38" s="88"/>
      <c r="L38" s="88"/>
      <c r="M38" s="258"/>
      <c r="N38" s="264"/>
      <c r="O38" s="265"/>
      <c r="P38" s="265"/>
      <c r="Q38" s="266">
        <v>27976</v>
      </c>
      <c r="R38" s="265"/>
      <c r="S38" s="266">
        <v>27976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 t="s">
        <v>585</v>
      </c>
      <c r="D39" s="88"/>
      <c r="E39" s="88"/>
      <c r="F39" s="88"/>
      <c r="G39" s="88" t="s">
        <v>586</v>
      </c>
      <c r="H39" s="88"/>
      <c r="I39" s="88"/>
      <c r="J39" s="88"/>
      <c r="K39" s="88"/>
      <c r="L39" s="88"/>
      <c r="M39" s="258"/>
      <c r="N39" s="264"/>
      <c r="O39" s="265"/>
      <c r="P39" s="265"/>
      <c r="Q39" s="266">
        <v>63713</v>
      </c>
      <c r="R39" s="265"/>
      <c r="S39" s="266">
        <v>63713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/>
      <c r="D40" s="88" t="s">
        <v>587</v>
      </c>
      <c r="E40" s="88"/>
      <c r="F40" s="88"/>
      <c r="G40" s="88"/>
      <c r="H40" s="88"/>
      <c r="I40" s="88" t="s">
        <v>588</v>
      </c>
      <c r="J40" s="88"/>
      <c r="K40" s="88"/>
      <c r="L40" s="88"/>
      <c r="M40" s="258"/>
      <c r="N40" s="264"/>
      <c r="O40" s="265"/>
      <c r="P40" s="265"/>
      <c r="Q40" s="266">
        <v>1800</v>
      </c>
      <c r="R40" s="265"/>
      <c r="S40" s="266">
        <v>1800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589</v>
      </c>
      <c r="E41" s="88"/>
      <c r="F41" s="88"/>
      <c r="G41" s="88"/>
      <c r="H41" s="88"/>
      <c r="I41" s="88" t="s">
        <v>590</v>
      </c>
      <c r="J41" s="88"/>
      <c r="K41" s="88"/>
      <c r="L41" s="88"/>
      <c r="M41" s="258"/>
      <c r="N41" s="264"/>
      <c r="O41" s="265"/>
      <c r="P41" s="265"/>
      <c r="Q41" s="266">
        <v>17703</v>
      </c>
      <c r="R41" s="265"/>
      <c r="S41" s="266">
        <v>17703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/>
      <c r="D42" s="88" t="s">
        <v>591</v>
      </c>
      <c r="E42" s="88"/>
      <c r="F42" s="88"/>
      <c r="G42" s="88"/>
      <c r="H42" s="88"/>
      <c r="I42" s="88" t="s">
        <v>592</v>
      </c>
      <c r="J42" s="88"/>
      <c r="K42" s="88"/>
      <c r="L42" s="88"/>
      <c r="M42" s="258"/>
      <c r="N42" s="264"/>
      <c r="O42" s="265"/>
      <c r="P42" s="265"/>
      <c r="Q42" s="266">
        <v>19250</v>
      </c>
      <c r="R42" s="265"/>
      <c r="S42" s="266">
        <v>19250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/>
      <c r="D43" s="88" t="s">
        <v>593</v>
      </c>
      <c r="E43" s="88"/>
      <c r="F43" s="88"/>
      <c r="G43" s="88"/>
      <c r="H43" s="88"/>
      <c r="I43" s="88" t="s">
        <v>594</v>
      </c>
      <c r="J43" s="88"/>
      <c r="K43" s="88"/>
      <c r="L43" s="88"/>
      <c r="M43" s="258"/>
      <c r="N43" s="264"/>
      <c r="O43" s="265"/>
      <c r="P43" s="265"/>
      <c r="Q43" s="266">
        <v>24960</v>
      </c>
      <c r="R43" s="265"/>
      <c r="S43" s="266">
        <v>24960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 t="s">
        <v>595</v>
      </c>
      <c r="D44" s="88"/>
      <c r="E44" s="88"/>
      <c r="F44" s="88"/>
      <c r="G44" s="88" t="s">
        <v>596</v>
      </c>
      <c r="H44" s="88"/>
      <c r="I44" s="88"/>
      <c r="J44" s="88"/>
      <c r="K44" s="88"/>
      <c r="L44" s="88"/>
      <c r="M44" s="258"/>
      <c r="N44" s="264"/>
      <c r="O44" s="265"/>
      <c r="P44" s="265"/>
      <c r="Q44" s="266">
        <v>287840</v>
      </c>
      <c r="R44" s="265"/>
      <c r="S44" s="266">
        <v>287840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/>
      <c r="D45" s="88" t="s">
        <v>597</v>
      </c>
      <c r="E45" s="88"/>
      <c r="F45" s="88"/>
      <c r="G45" s="88"/>
      <c r="H45" s="88"/>
      <c r="I45" s="88" t="s">
        <v>598</v>
      </c>
      <c r="J45" s="88"/>
      <c r="K45" s="88"/>
      <c r="L45" s="88"/>
      <c r="M45" s="258"/>
      <c r="N45" s="264"/>
      <c r="O45" s="265"/>
      <c r="P45" s="265"/>
      <c r="Q45" s="266">
        <v>267840</v>
      </c>
      <c r="R45" s="265"/>
      <c r="S45" s="266">
        <v>267840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599</v>
      </c>
      <c r="E46" s="88"/>
      <c r="F46" s="88"/>
      <c r="G46" s="88"/>
      <c r="H46" s="88"/>
      <c r="I46" s="88" t="s">
        <v>600</v>
      </c>
      <c r="J46" s="88"/>
      <c r="K46" s="88"/>
      <c r="L46" s="88"/>
      <c r="M46" s="258"/>
      <c r="N46" s="264"/>
      <c r="O46" s="265"/>
      <c r="P46" s="265"/>
      <c r="Q46" s="266">
        <v>20000</v>
      </c>
      <c r="R46" s="265"/>
      <c r="S46" s="266">
        <v>20000</v>
      </c>
      <c r="T46" s="266"/>
      <c r="U46" s="266"/>
      <c r="V46" s="265"/>
      <c r="W46" s="265"/>
      <c r="X46" s="6"/>
    </row>
    <row r="47" spans="1:24" ht="15.75" customHeight="1">
      <c r="A47" s="257"/>
      <c r="B47" s="88"/>
      <c r="C47" s="88" t="s">
        <v>526</v>
      </c>
      <c r="D47" s="88"/>
      <c r="E47" s="88"/>
      <c r="F47" s="88"/>
      <c r="G47" s="88" t="s">
        <v>601</v>
      </c>
      <c r="H47" s="88"/>
      <c r="I47" s="88"/>
      <c r="J47" s="88"/>
      <c r="K47" s="88"/>
      <c r="L47" s="88"/>
      <c r="M47" s="258"/>
      <c r="N47" s="264"/>
      <c r="O47" s="265"/>
      <c r="P47" s="265"/>
      <c r="Q47" s="266">
        <v>76260</v>
      </c>
      <c r="R47" s="265"/>
      <c r="S47" s="266">
        <v>76260</v>
      </c>
      <c r="T47" s="266"/>
      <c r="U47" s="266"/>
      <c r="V47" s="265"/>
      <c r="W47" s="265"/>
      <c r="X47" s="6"/>
    </row>
    <row r="48" spans="1:24" ht="15.75" customHeight="1">
      <c r="A48" s="257"/>
      <c r="B48" s="88"/>
      <c r="C48" s="88"/>
      <c r="D48" s="88" t="s">
        <v>602</v>
      </c>
      <c r="E48" s="88"/>
      <c r="F48" s="88"/>
      <c r="G48" s="88"/>
      <c r="H48" s="88"/>
      <c r="I48" s="88" t="s">
        <v>603</v>
      </c>
      <c r="J48" s="88"/>
      <c r="K48" s="88"/>
      <c r="L48" s="88"/>
      <c r="M48" s="258"/>
      <c r="N48" s="264"/>
      <c r="O48" s="265"/>
      <c r="P48" s="265"/>
      <c r="Q48" s="266">
        <v>37760</v>
      </c>
      <c r="R48" s="265"/>
      <c r="S48" s="266">
        <v>37760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604</v>
      </c>
      <c r="E49" s="88"/>
      <c r="F49" s="88"/>
      <c r="G49" s="88"/>
      <c r="H49" s="88"/>
      <c r="I49" s="88" t="s">
        <v>605</v>
      </c>
      <c r="J49" s="88"/>
      <c r="K49" s="88"/>
      <c r="L49" s="88"/>
      <c r="M49" s="258"/>
      <c r="N49" s="264"/>
      <c r="O49" s="265"/>
      <c r="P49" s="265"/>
      <c r="Q49" s="266">
        <v>38500</v>
      </c>
      <c r="R49" s="265"/>
      <c r="S49" s="266">
        <v>38500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 t="s">
        <v>606</v>
      </c>
      <c r="D50" s="88"/>
      <c r="E50" s="88"/>
      <c r="F50" s="88"/>
      <c r="G50" s="88" t="s">
        <v>607</v>
      </c>
      <c r="H50" s="88"/>
      <c r="I50" s="88"/>
      <c r="J50" s="88"/>
      <c r="K50" s="88"/>
      <c r="L50" s="88"/>
      <c r="M50" s="258"/>
      <c r="N50" s="264"/>
      <c r="O50" s="265"/>
      <c r="P50" s="265"/>
      <c r="Q50" s="266">
        <v>20805</v>
      </c>
      <c r="R50" s="265"/>
      <c r="S50" s="266">
        <v>20805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/>
      <c r="D51" s="88" t="s">
        <v>608</v>
      </c>
      <c r="E51" s="88"/>
      <c r="F51" s="88"/>
      <c r="G51" s="88"/>
      <c r="H51" s="88"/>
      <c r="I51" s="88" t="s">
        <v>607</v>
      </c>
      <c r="J51" s="88"/>
      <c r="K51" s="88"/>
      <c r="L51" s="88"/>
      <c r="M51" s="258"/>
      <c r="N51" s="264"/>
      <c r="O51" s="265"/>
      <c r="P51" s="265"/>
      <c r="Q51" s="266">
        <v>20805</v>
      </c>
      <c r="R51" s="265"/>
      <c r="S51" s="266">
        <v>20805</v>
      </c>
      <c r="T51" s="266"/>
      <c r="U51" s="266"/>
      <c r="V51" s="265"/>
      <c r="W51" s="265"/>
      <c r="X51" s="6"/>
    </row>
    <row r="52" spans="1:24" ht="15.75" customHeight="1">
      <c r="A52" s="257"/>
      <c r="B52" s="88" t="s">
        <v>529</v>
      </c>
      <c r="C52" s="88"/>
      <c r="D52" s="88"/>
      <c r="E52" s="88"/>
      <c r="F52" s="88" t="s">
        <v>609</v>
      </c>
      <c r="G52" s="88"/>
      <c r="H52" s="88"/>
      <c r="I52" s="88"/>
      <c r="J52" s="88"/>
      <c r="K52" s="88"/>
      <c r="L52" s="88"/>
      <c r="M52" s="258"/>
      <c r="N52" s="264"/>
      <c r="O52" s="265">
        <v>208000</v>
      </c>
      <c r="P52" s="265"/>
      <c r="Q52" s="266">
        <v>42184</v>
      </c>
      <c r="R52" s="265"/>
      <c r="S52" s="266">
        <v>-165816</v>
      </c>
      <c r="T52" s="266"/>
      <c r="U52" s="266"/>
      <c r="V52" s="265"/>
      <c r="W52" s="265" t="s">
        <v>610</v>
      </c>
      <c r="X52" s="6"/>
    </row>
    <row r="53" spans="1:24" ht="15.75" customHeight="1">
      <c r="A53" s="257"/>
      <c r="B53" s="88"/>
      <c r="C53" s="88" t="s">
        <v>611</v>
      </c>
      <c r="D53" s="88"/>
      <c r="E53" s="88"/>
      <c r="F53" s="88"/>
      <c r="G53" s="88" t="s">
        <v>612</v>
      </c>
      <c r="H53" s="88"/>
      <c r="I53" s="88"/>
      <c r="J53" s="88"/>
      <c r="K53" s="88"/>
      <c r="L53" s="88"/>
      <c r="M53" s="258"/>
      <c r="N53" s="264"/>
      <c r="O53" s="266"/>
      <c r="P53" s="265"/>
      <c r="Q53" s="266">
        <v>42184</v>
      </c>
      <c r="R53" s="265"/>
      <c r="S53" s="266">
        <v>42184</v>
      </c>
      <c r="T53" s="266"/>
      <c r="U53" s="266"/>
      <c r="V53" s="265"/>
      <c r="W53" s="266"/>
      <c r="X53" s="6"/>
    </row>
    <row r="54" spans="1:24" ht="15.75" customHeight="1">
      <c r="A54" s="257"/>
      <c r="B54" s="88"/>
      <c r="C54" s="88"/>
      <c r="D54" s="88" t="s">
        <v>613</v>
      </c>
      <c r="E54" s="88"/>
      <c r="F54" s="88"/>
      <c r="G54" s="88"/>
      <c r="H54" s="88"/>
      <c r="I54" s="88" t="s">
        <v>614</v>
      </c>
      <c r="J54" s="88"/>
      <c r="K54" s="88"/>
      <c r="L54" s="88"/>
      <c r="M54" s="258"/>
      <c r="N54" s="264"/>
      <c r="O54" s="265"/>
      <c r="P54" s="265"/>
      <c r="Q54" s="266">
        <v>14275</v>
      </c>
      <c r="R54" s="265"/>
      <c r="S54" s="266">
        <v>14275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/>
      <c r="D55" s="88" t="s">
        <v>615</v>
      </c>
      <c r="E55" s="88"/>
      <c r="F55" s="88"/>
      <c r="G55" s="88"/>
      <c r="H55" s="88"/>
      <c r="I55" s="88" t="s">
        <v>616</v>
      </c>
      <c r="J55" s="88"/>
      <c r="K55" s="88"/>
      <c r="L55" s="88"/>
      <c r="M55" s="258"/>
      <c r="N55" s="264"/>
      <c r="O55" s="265"/>
      <c r="P55" s="265"/>
      <c r="Q55" s="266">
        <v>7595</v>
      </c>
      <c r="R55" s="265"/>
      <c r="S55" s="266">
        <v>7595</v>
      </c>
      <c r="T55" s="266"/>
      <c r="U55" s="266"/>
      <c r="V55" s="265"/>
      <c r="W55" s="265"/>
      <c r="X55" s="6"/>
    </row>
    <row r="56" spans="1:24" ht="15.75" customHeight="1">
      <c r="A56" s="257"/>
      <c r="B56" s="88"/>
      <c r="C56" s="88"/>
      <c r="D56" s="88" t="s">
        <v>617</v>
      </c>
      <c r="E56" s="88"/>
      <c r="F56" s="88"/>
      <c r="G56" s="88"/>
      <c r="H56" s="88"/>
      <c r="I56" s="88" t="s">
        <v>618</v>
      </c>
      <c r="J56" s="88"/>
      <c r="K56" s="88"/>
      <c r="L56" s="88"/>
      <c r="M56" s="258"/>
      <c r="N56" s="264"/>
      <c r="O56" s="265"/>
      <c r="P56" s="265"/>
      <c r="Q56" s="266">
        <v>1440</v>
      </c>
      <c r="R56" s="265"/>
      <c r="S56" s="266">
        <v>1440</v>
      </c>
      <c r="T56" s="266"/>
      <c r="U56" s="266"/>
      <c r="V56" s="265"/>
      <c r="W56" s="265"/>
      <c r="X56" s="6"/>
    </row>
    <row r="57" spans="1:24" ht="15.75" customHeight="1">
      <c r="A57" s="257"/>
      <c r="B57" s="88"/>
      <c r="C57" s="88"/>
      <c r="D57" s="88" t="s">
        <v>619</v>
      </c>
      <c r="E57" s="88"/>
      <c r="F57" s="88"/>
      <c r="G57" s="88"/>
      <c r="H57" s="88"/>
      <c r="I57" s="88" t="s">
        <v>620</v>
      </c>
      <c r="J57" s="88"/>
      <c r="K57" s="88"/>
      <c r="L57" s="88"/>
      <c r="M57" s="258"/>
      <c r="N57" s="264"/>
      <c r="O57" s="265"/>
      <c r="P57" s="265"/>
      <c r="Q57" s="266">
        <v>18874</v>
      </c>
      <c r="R57" s="265"/>
      <c r="S57" s="266">
        <v>18874</v>
      </c>
      <c r="T57" s="266"/>
      <c r="U57" s="266"/>
      <c r="V57" s="265"/>
      <c r="W57" s="265"/>
      <c r="X57" s="6"/>
    </row>
    <row r="58" spans="1:24" ht="15.75" customHeight="1">
      <c r="A58" s="257"/>
      <c r="B58" s="88" t="s">
        <v>621</v>
      </c>
      <c r="C58" s="88"/>
      <c r="D58" s="88"/>
      <c r="E58" s="88"/>
      <c r="F58" s="88" t="s">
        <v>622</v>
      </c>
      <c r="G58" s="88"/>
      <c r="H58" s="88"/>
      <c r="I58" s="88"/>
      <c r="J58" s="88"/>
      <c r="K58" s="88"/>
      <c r="L58" s="88"/>
      <c r="M58" s="258"/>
      <c r="N58" s="264"/>
      <c r="O58" s="265">
        <v>416000</v>
      </c>
      <c r="P58" s="265"/>
      <c r="Q58" s="266">
        <v>373666</v>
      </c>
      <c r="R58" s="265"/>
      <c r="S58" s="266">
        <v>-42334</v>
      </c>
      <c r="T58" s="266"/>
      <c r="U58" s="266"/>
      <c r="V58" s="265"/>
      <c r="W58" s="265" t="s">
        <v>623</v>
      </c>
      <c r="X58" s="6"/>
    </row>
    <row r="59" spans="1:24" ht="15.75" customHeight="1">
      <c r="A59" s="257"/>
      <c r="B59" s="88"/>
      <c r="C59" s="88" t="s">
        <v>624</v>
      </c>
      <c r="D59" s="88"/>
      <c r="E59" s="88"/>
      <c r="F59" s="88"/>
      <c r="G59" s="88" t="s">
        <v>625</v>
      </c>
      <c r="H59" s="88"/>
      <c r="I59" s="88"/>
      <c r="J59" s="88"/>
      <c r="K59" s="88"/>
      <c r="L59" s="88"/>
      <c r="M59" s="258"/>
      <c r="N59" s="264"/>
      <c r="O59" s="265"/>
      <c r="P59" s="265"/>
      <c r="Q59" s="266">
        <v>315120</v>
      </c>
      <c r="R59" s="265"/>
      <c r="S59" s="266">
        <v>315120</v>
      </c>
      <c r="T59" s="266"/>
      <c r="U59" s="266"/>
      <c r="V59" s="265"/>
      <c r="W59" s="265"/>
      <c r="X59" s="6"/>
    </row>
    <row r="60" spans="1:24" ht="15.75" customHeight="1">
      <c r="A60" s="257"/>
      <c r="B60" s="88"/>
      <c r="C60" s="88"/>
      <c r="D60" s="88" t="s">
        <v>626</v>
      </c>
      <c r="E60" s="88"/>
      <c r="F60" s="88"/>
      <c r="G60" s="88"/>
      <c r="H60" s="88"/>
      <c r="I60" s="88" t="s">
        <v>627</v>
      </c>
      <c r="J60" s="88"/>
      <c r="K60" s="88"/>
      <c r="L60" s="88"/>
      <c r="M60" s="258"/>
      <c r="N60" s="264"/>
      <c r="O60" s="265"/>
      <c r="P60" s="265"/>
      <c r="Q60" s="266">
        <v>315120</v>
      </c>
      <c r="R60" s="265"/>
      <c r="S60" s="266">
        <v>315120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 t="s">
        <v>628</v>
      </c>
      <c r="D61" s="89"/>
      <c r="E61" s="89"/>
      <c r="F61" s="89"/>
      <c r="G61" s="89" t="s">
        <v>629</v>
      </c>
      <c r="H61" s="89"/>
      <c r="I61" s="89"/>
      <c r="J61" s="89"/>
      <c r="K61" s="89"/>
      <c r="L61" s="89"/>
      <c r="M61" s="260"/>
      <c r="N61" s="267"/>
      <c r="O61" s="268"/>
      <c r="P61" s="268"/>
      <c r="Q61" s="269">
        <v>58546</v>
      </c>
      <c r="R61" s="268"/>
      <c r="S61" s="269">
        <v>58546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/>
      <c r="D62" s="87" t="s">
        <v>630</v>
      </c>
      <c r="E62" s="87"/>
      <c r="F62" s="87"/>
      <c r="G62" s="87"/>
      <c r="H62" s="87"/>
      <c r="I62" s="87" t="s">
        <v>629</v>
      </c>
      <c r="J62" s="87"/>
      <c r="K62" s="87"/>
      <c r="L62" s="87"/>
      <c r="M62" s="256"/>
      <c r="N62" s="261"/>
      <c r="O62" s="262"/>
      <c r="P62" s="263"/>
      <c r="Q62" s="263">
        <v>58546</v>
      </c>
      <c r="R62" s="263"/>
      <c r="S62" s="262">
        <v>58546</v>
      </c>
      <c r="T62" s="262"/>
      <c r="U62" s="262"/>
      <c r="V62" s="263"/>
      <c r="W62" s="262"/>
      <c r="X62" s="6"/>
    </row>
    <row r="63" spans="1:24" ht="15.75" customHeight="1">
      <c r="A63" s="257"/>
      <c r="B63" s="88" t="s">
        <v>631</v>
      </c>
      <c r="C63" s="88"/>
      <c r="D63" s="88"/>
      <c r="E63" s="88"/>
      <c r="F63" s="88" t="s">
        <v>632</v>
      </c>
      <c r="G63" s="88"/>
      <c r="H63" s="88"/>
      <c r="I63" s="88"/>
      <c r="J63" s="88"/>
      <c r="K63" s="88"/>
      <c r="L63" s="88"/>
      <c r="M63" s="258"/>
      <c r="N63" s="264"/>
      <c r="O63" s="266">
        <v>33000</v>
      </c>
      <c r="P63" s="265"/>
      <c r="Q63" s="266">
        <v>10440</v>
      </c>
      <c r="R63" s="265"/>
      <c r="S63" s="266">
        <v>-22560</v>
      </c>
      <c r="T63" s="266"/>
      <c r="U63" s="266"/>
      <c r="V63" s="265"/>
      <c r="W63" s="266" t="s">
        <v>633</v>
      </c>
      <c r="X63" s="6"/>
    </row>
    <row r="64" spans="1:24" ht="15.75" customHeight="1">
      <c r="A64" s="257"/>
      <c r="B64" s="88"/>
      <c r="C64" s="88" t="s">
        <v>634</v>
      </c>
      <c r="D64" s="88"/>
      <c r="E64" s="88"/>
      <c r="F64" s="88"/>
      <c r="G64" s="88" t="s">
        <v>635</v>
      </c>
      <c r="H64" s="88"/>
      <c r="I64" s="88"/>
      <c r="J64" s="88"/>
      <c r="K64" s="88"/>
      <c r="L64" s="88"/>
      <c r="M64" s="258"/>
      <c r="N64" s="264"/>
      <c r="O64" s="266"/>
      <c r="P64" s="265"/>
      <c r="Q64" s="266">
        <v>1000</v>
      </c>
      <c r="R64" s="265"/>
      <c r="S64" s="266">
        <v>1000</v>
      </c>
      <c r="T64" s="266"/>
      <c r="U64" s="266"/>
      <c r="V64" s="265"/>
      <c r="W64" s="266"/>
      <c r="X64" s="6"/>
    </row>
    <row r="65" spans="1:24" ht="15.75" customHeight="1">
      <c r="A65" s="257"/>
      <c r="B65" s="88"/>
      <c r="C65" s="88"/>
      <c r="D65" s="88" t="s">
        <v>636</v>
      </c>
      <c r="E65" s="88"/>
      <c r="F65" s="88"/>
      <c r="G65" s="88"/>
      <c r="H65" s="88"/>
      <c r="I65" s="88" t="s">
        <v>637</v>
      </c>
      <c r="J65" s="88"/>
      <c r="K65" s="88"/>
      <c r="L65" s="88"/>
      <c r="M65" s="258"/>
      <c r="N65" s="264"/>
      <c r="O65" s="266"/>
      <c r="P65" s="265"/>
      <c r="Q65" s="266">
        <v>1000</v>
      </c>
      <c r="R65" s="265"/>
      <c r="S65" s="266">
        <v>1000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 t="s">
        <v>638</v>
      </c>
      <c r="D66" s="88"/>
      <c r="E66" s="88"/>
      <c r="F66" s="88"/>
      <c r="G66" s="88" t="s">
        <v>639</v>
      </c>
      <c r="H66" s="88"/>
      <c r="I66" s="88"/>
      <c r="J66" s="88"/>
      <c r="K66" s="88"/>
      <c r="L66" s="88"/>
      <c r="M66" s="258"/>
      <c r="N66" s="264"/>
      <c r="O66" s="266"/>
      <c r="P66" s="265"/>
      <c r="Q66" s="266">
        <v>8000</v>
      </c>
      <c r="R66" s="265"/>
      <c r="S66" s="266">
        <v>8000</v>
      </c>
      <c r="T66" s="266"/>
      <c r="U66" s="266"/>
      <c r="V66" s="265"/>
      <c r="W66" s="266"/>
      <c r="X66" s="6"/>
    </row>
    <row r="67" spans="1:24" ht="15.75" customHeight="1">
      <c r="A67" s="257"/>
      <c r="B67" s="88"/>
      <c r="C67" s="88"/>
      <c r="D67" s="88" t="s">
        <v>640</v>
      </c>
      <c r="E67" s="88"/>
      <c r="F67" s="88"/>
      <c r="G67" s="88"/>
      <c r="H67" s="88"/>
      <c r="I67" s="88" t="s">
        <v>641</v>
      </c>
      <c r="J67" s="88"/>
      <c r="K67" s="88"/>
      <c r="L67" s="88"/>
      <c r="M67" s="258"/>
      <c r="N67" s="264"/>
      <c r="O67" s="266"/>
      <c r="P67" s="265"/>
      <c r="Q67" s="266">
        <v>8000</v>
      </c>
      <c r="R67" s="265"/>
      <c r="S67" s="266">
        <v>8000</v>
      </c>
      <c r="T67" s="266"/>
      <c r="U67" s="266"/>
      <c r="V67" s="265"/>
      <c r="W67" s="266"/>
      <c r="X67" s="6"/>
    </row>
    <row r="68" spans="1:24" ht="15.75" customHeight="1">
      <c r="A68" s="257"/>
      <c r="B68" s="88"/>
      <c r="C68" s="88" t="s">
        <v>642</v>
      </c>
      <c r="D68" s="88"/>
      <c r="E68" s="88"/>
      <c r="F68" s="88"/>
      <c r="G68" s="88" t="s">
        <v>643</v>
      </c>
      <c r="H68" s="88"/>
      <c r="I68" s="88"/>
      <c r="J68" s="88"/>
      <c r="K68" s="88"/>
      <c r="L68" s="88"/>
      <c r="M68" s="258"/>
      <c r="N68" s="264"/>
      <c r="O68" s="265"/>
      <c r="P68" s="265"/>
      <c r="Q68" s="266">
        <v>1440</v>
      </c>
      <c r="R68" s="265"/>
      <c r="S68" s="266">
        <v>1440</v>
      </c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/>
      <c r="D69" s="88" t="s">
        <v>644</v>
      </c>
      <c r="E69" s="88"/>
      <c r="F69" s="88"/>
      <c r="G69" s="88"/>
      <c r="H69" s="88"/>
      <c r="I69" s="88" t="s">
        <v>645</v>
      </c>
      <c r="J69" s="88"/>
      <c r="K69" s="88"/>
      <c r="L69" s="88"/>
      <c r="M69" s="258"/>
      <c r="N69" s="264"/>
      <c r="O69" s="265"/>
      <c r="P69" s="265"/>
      <c r="Q69" s="266">
        <v>1440</v>
      </c>
      <c r="R69" s="265"/>
      <c r="S69" s="266">
        <v>1440</v>
      </c>
      <c r="T69" s="266"/>
      <c r="U69" s="266"/>
      <c r="V69" s="265"/>
      <c r="W69" s="265"/>
      <c r="X69" s="6"/>
    </row>
    <row r="70" spans="1:24" ht="15.75" customHeight="1">
      <c r="A70" s="257"/>
      <c r="B70" s="88" t="s">
        <v>646</v>
      </c>
      <c r="C70" s="88"/>
      <c r="D70" s="88"/>
      <c r="E70" s="88"/>
      <c r="F70" s="88" t="s">
        <v>203</v>
      </c>
      <c r="G70" s="88"/>
      <c r="H70" s="88"/>
      <c r="I70" s="88"/>
      <c r="J70" s="88"/>
      <c r="K70" s="88"/>
      <c r="L70" s="88"/>
      <c r="M70" s="258"/>
      <c r="N70" s="264"/>
      <c r="O70" s="265">
        <v>46000</v>
      </c>
      <c r="P70" s="265"/>
      <c r="Q70" s="266">
        <v>320</v>
      </c>
      <c r="R70" s="265"/>
      <c r="S70" s="266">
        <v>-45680</v>
      </c>
      <c r="T70" s="266"/>
      <c r="U70" s="266"/>
      <c r="V70" s="265"/>
      <c r="W70" s="265" t="s">
        <v>647</v>
      </c>
      <c r="X70" s="6"/>
    </row>
    <row r="71" spans="1:24" ht="15.75" customHeight="1">
      <c r="A71" s="257"/>
      <c r="B71" s="88"/>
      <c r="C71" s="88" t="s">
        <v>648</v>
      </c>
      <c r="D71" s="88"/>
      <c r="E71" s="88"/>
      <c r="F71" s="88"/>
      <c r="G71" s="88" t="s">
        <v>649</v>
      </c>
      <c r="H71" s="88"/>
      <c r="I71" s="88"/>
      <c r="J71" s="88"/>
      <c r="K71" s="88"/>
      <c r="L71" s="88"/>
      <c r="M71" s="258"/>
      <c r="N71" s="264"/>
      <c r="O71" s="265"/>
      <c r="P71" s="265"/>
      <c r="Q71" s="266">
        <v>320</v>
      </c>
      <c r="R71" s="265"/>
      <c r="S71" s="266">
        <v>320</v>
      </c>
      <c r="T71" s="266"/>
      <c r="U71" s="266"/>
      <c r="V71" s="265"/>
      <c r="W71" s="265"/>
      <c r="X71" s="6"/>
    </row>
    <row r="72" spans="1:24" ht="15.75" customHeight="1">
      <c r="A72" s="257"/>
      <c r="B72" s="88"/>
      <c r="C72" s="88"/>
      <c r="D72" s="88" t="s">
        <v>650</v>
      </c>
      <c r="E72" s="88"/>
      <c r="F72" s="88"/>
      <c r="G72" s="88"/>
      <c r="H72" s="88"/>
      <c r="I72" s="88" t="s">
        <v>203</v>
      </c>
      <c r="J72" s="88"/>
      <c r="K72" s="88"/>
      <c r="L72" s="88"/>
      <c r="M72" s="258"/>
      <c r="N72" s="264"/>
      <c r="O72" s="265"/>
      <c r="P72" s="265"/>
      <c r="Q72" s="266">
        <v>320</v>
      </c>
      <c r="R72" s="265"/>
      <c r="S72" s="266">
        <v>320</v>
      </c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 t="s">
        <v>651</v>
      </c>
      <c r="E73" s="88"/>
      <c r="F73" s="88"/>
      <c r="G73" s="88"/>
      <c r="H73" s="88"/>
      <c r="I73" s="88"/>
      <c r="J73" s="88"/>
      <c r="K73" s="88"/>
      <c r="L73" s="88"/>
      <c r="M73" s="258"/>
      <c r="N73" s="264"/>
      <c r="O73" s="265">
        <v>36079000</v>
      </c>
      <c r="P73" s="265"/>
      <c r="Q73" s="266">
        <v>26785086</v>
      </c>
      <c r="R73" s="265"/>
      <c r="S73" s="266">
        <v>-9293914</v>
      </c>
      <c r="T73" s="266"/>
      <c r="U73" s="266"/>
      <c r="V73" s="265"/>
      <c r="W73" s="265" t="s">
        <v>653</v>
      </c>
      <c r="X73" s="6"/>
    </row>
    <row r="74" spans="1:24" ht="15.75" customHeight="1">
      <c r="A74" s="25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/>
      <c r="P74" s="265"/>
      <c r="Q74" s="266"/>
      <c r="R74" s="265"/>
      <c r="S74" s="266"/>
      <c r="T74" s="266"/>
      <c r="U74" s="266"/>
      <c r="V74" s="265"/>
      <c r="W74" s="265"/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topLeftCell="A5" zoomScaleSheetLayoutView="100" workbookViewId="0">
      <selection activeCell="G19" sqref="G19"/>
    </sheetView>
  </sheetViews>
  <sheetFormatPr defaultColWidth="9.140625" defaultRowHeight="14.25"/>
  <cols>
    <col min="1" max="1" width="5.42578125" style="476" customWidth="1"/>
    <col min="2" max="2" width="5" style="476" customWidth="1"/>
    <col min="3" max="3" width="20.140625" style="476" customWidth="1"/>
    <col min="4" max="4" width="3.28515625" style="476" customWidth="1"/>
    <col min="5" max="5" width="14" style="62" customWidth="1"/>
    <col min="6" max="6" width="9.140625" style="476"/>
    <col min="7" max="7" width="11" style="476" customWidth="1"/>
    <col min="8" max="13" width="9.140625" style="476"/>
    <col min="14" max="15" width="3.42578125" style="476" customWidth="1"/>
    <col min="16" max="16" width="5.5703125" style="476" customWidth="1"/>
    <col min="17" max="16384" width="9.140625" style="476"/>
  </cols>
  <sheetData>
    <row r="1" spans="1:16" ht="25.5">
      <c r="A1" s="783" t="str">
        <f>封面!$A$4</f>
        <v>彰化縣地方教育發展基金－彰化縣秀水鄉馬興國民小學</v>
      </c>
      <c r="B1" s="783"/>
      <c r="C1" s="783"/>
      <c r="D1" s="783"/>
      <c r="E1" s="783"/>
      <c r="F1" s="783"/>
      <c r="G1" s="783"/>
      <c r="H1" s="783"/>
      <c r="I1" s="783"/>
      <c r="J1" s="783"/>
      <c r="K1" s="783"/>
      <c r="L1" s="783"/>
      <c r="M1" s="783"/>
      <c r="N1" s="783"/>
      <c r="O1" s="783"/>
    </row>
    <row r="2" spans="1:16" ht="19.5">
      <c r="A2" s="784" t="s">
        <v>116</v>
      </c>
      <c r="B2" s="784"/>
      <c r="C2" s="784"/>
      <c r="D2" s="784"/>
      <c r="E2" s="784"/>
      <c r="F2" s="784"/>
      <c r="G2" s="784"/>
      <c r="H2" s="784"/>
      <c r="I2" s="784"/>
      <c r="J2" s="784"/>
      <c r="K2" s="784"/>
      <c r="L2" s="784"/>
      <c r="M2" s="784"/>
      <c r="N2" s="784"/>
      <c r="O2" s="784"/>
    </row>
    <row r="3" spans="1:16" ht="15.75">
      <c r="A3" s="785" t="str">
        <f>封面!$E$10&amp;封面!$H$10&amp;封面!$I$10&amp;封面!$J$10&amp;封面!$K$10&amp;封面!L10</f>
        <v>中華民國112年8月份</v>
      </c>
      <c r="B3" s="785"/>
      <c r="C3" s="785"/>
      <c r="D3" s="785"/>
      <c r="E3" s="785"/>
      <c r="F3" s="785"/>
      <c r="G3" s="785"/>
      <c r="H3" s="785"/>
      <c r="I3" s="785"/>
      <c r="J3" s="785"/>
      <c r="K3" s="785"/>
      <c r="L3" s="785"/>
      <c r="M3" s="785"/>
      <c r="N3" s="785"/>
      <c r="O3" s="785"/>
    </row>
    <row r="4" spans="1:16" s="477" customFormat="1" ht="16.5">
      <c r="A4" s="477" t="s">
        <v>220</v>
      </c>
      <c r="B4" s="782" t="s">
        <v>221</v>
      </c>
      <c r="C4" s="782"/>
      <c r="D4" s="782"/>
      <c r="E4" s="782"/>
      <c r="F4" s="782"/>
      <c r="G4" s="782"/>
      <c r="H4" s="782"/>
      <c r="I4" s="782"/>
      <c r="J4" s="782"/>
      <c r="K4" s="782"/>
      <c r="L4" s="782"/>
      <c r="M4" s="782"/>
      <c r="N4" s="782"/>
      <c r="O4" s="782"/>
      <c r="P4" s="782"/>
    </row>
    <row r="5" spans="1:16" s="477" customFormat="1" ht="16.5">
      <c r="B5" s="477" t="s">
        <v>438</v>
      </c>
      <c r="C5" s="477" t="s">
        <v>439</v>
      </c>
      <c r="D5" s="593"/>
      <c r="E5" s="60" t="s">
        <v>194</v>
      </c>
      <c r="F5" s="593"/>
      <c r="G5" s="593"/>
      <c r="H5" s="593"/>
      <c r="I5" s="593"/>
    </row>
    <row r="6" spans="1:16" s="477" customFormat="1" ht="16.5">
      <c r="D6" s="102" t="s">
        <v>222</v>
      </c>
      <c r="E6" s="60" t="s">
        <v>195</v>
      </c>
      <c r="F6" s="593"/>
      <c r="G6" s="593"/>
      <c r="H6" s="214" t="s">
        <v>463</v>
      </c>
      <c r="I6" s="338"/>
      <c r="J6" s="338"/>
      <c r="K6" s="338"/>
      <c r="L6" s="338"/>
      <c r="M6" s="338"/>
      <c r="N6" s="338"/>
      <c r="O6" s="338"/>
      <c r="P6" s="338"/>
    </row>
    <row r="7" spans="1:16" s="477" customFormat="1" ht="16.5">
      <c r="B7" s="477" t="s">
        <v>440</v>
      </c>
      <c r="C7" s="477" t="s">
        <v>441</v>
      </c>
      <c r="E7" s="60" t="s">
        <v>194</v>
      </c>
      <c r="H7" s="338"/>
      <c r="I7" s="338"/>
      <c r="J7" s="338"/>
      <c r="K7" s="338"/>
      <c r="L7" s="338"/>
      <c r="M7" s="338"/>
      <c r="N7" s="338"/>
      <c r="O7" s="338"/>
      <c r="P7" s="338"/>
    </row>
    <row r="8" spans="1:16" s="477" customFormat="1" ht="16.5">
      <c r="D8" s="102" t="s">
        <v>442</v>
      </c>
      <c r="E8" s="60" t="s">
        <v>195</v>
      </c>
      <c r="H8" s="214" t="s">
        <v>450</v>
      </c>
      <c r="I8" s="338"/>
      <c r="J8" s="338"/>
      <c r="K8" s="338"/>
      <c r="L8" s="338"/>
      <c r="M8" s="338"/>
      <c r="N8" s="338"/>
      <c r="O8" s="338"/>
      <c r="P8" s="338"/>
    </row>
    <row r="9" spans="1:16" s="477" customFormat="1" ht="16.5">
      <c r="B9" s="477" t="s">
        <v>293</v>
      </c>
      <c r="C9" s="477" t="s">
        <v>223</v>
      </c>
      <c r="D9" s="102" t="s">
        <v>222</v>
      </c>
      <c r="E9" s="60" t="s">
        <v>194</v>
      </c>
      <c r="H9" s="338"/>
      <c r="I9" s="338"/>
      <c r="J9" s="338"/>
      <c r="K9" s="338"/>
      <c r="L9" s="338"/>
      <c r="M9" s="338"/>
      <c r="N9" s="338"/>
      <c r="O9" s="338"/>
      <c r="P9" s="338"/>
    </row>
    <row r="10" spans="1:16" s="477" customFormat="1" ht="16.5">
      <c r="D10" s="579"/>
      <c r="E10" s="60" t="s">
        <v>195</v>
      </c>
      <c r="H10" s="580" t="s">
        <v>451</v>
      </c>
      <c r="I10" s="338"/>
      <c r="J10" s="338"/>
      <c r="K10" s="338"/>
      <c r="L10" s="338"/>
      <c r="M10" s="338"/>
      <c r="N10" s="338"/>
      <c r="O10" s="338"/>
      <c r="P10" s="338"/>
    </row>
    <row r="11" spans="1:16" s="477" customFormat="1" ht="16.5">
      <c r="B11" s="477" t="s">
        <v>294</v>
      </c>
      <c r="C11" s="477" t="s">
        <v>224</v>
      </c>
      <c r="D11" s="102" t="s">
        <v>222</v>
      </c>
      <c r="E11" s="60" t="s">
        <v>194</v>
      </c>
      <c r="H11" s="338"/>
      <c r="I11" s="338"/>
      <c r="J11" s="338"/>
      <c r="K11" s="338"/>
      <c r="L11" s="338"/>
      <c r="M11" s="338"/>
      <c r="N11" s="338"/>
      <c r="O11" s="338"/>
      <c r="P11" s="338"/>
    </row>
    <row r="12" spans="1:16" s="477" customFormat="1" ht="16.5">
      <c r="E12" s="60" t="s">
        <v>195</v>
      </c>
      <c r="H12" s="338"/>
      <c r="I12" s="338"/>
      <c r="J12" s="338"/>
      <c r="K12" s="338"/>
      <c r="L12" s="338"/>
      <c r="M12" s="338"/>
      <c r="N12" s="338"/>
      <c r="O12" s="338"/>
      <c r="P12" s="338"/>
    </row>
    <row r="13" spans="1:16" s="477" customFormat="1" ht="16.5">
      <c r="B13" s="477" t="s">
        <v>295</v>
      </c>
      <c r="C13" s="478" t="s">
        <v>225</v>
      </c>
      <c r="D13" s="581"/>
      <c r="E13" s="496" t="s">
        <v>194</v>
      </c>
      <c r="H13" s="338"/>
      <c r="I13" s="338"/>
      <c r="J13" s="338"/>
      <c r="K13" s="338"/>
      <c r="L13" s="338"/>
      <c r="M13" s="338"/>
      <c r="N13" s="338"/>
      <c r="O13" s="338"/>
      <c r="P13" s="338"/>
    </row>
    <row r="14" spans="1:16" s="477" customFormat="1" ht="16.5">
      <c r="C14" s="478"/>
      <c r="D14" s="102" t="s">
        <v>222</v>
      </c>
      <c r="E14" s="497" t="s">
        <v>195</v>
      </c>
      <c r="H14" s="781" t="s">
        <v>462</v>
      </c>
      <c r="I14" s="717"/>
      <c r="J14" s="717"/>
      <c r="K14" s="717"/>
      <c r="L14" s="717"/>
      <c r="M14" s="717"/>
      <c r="N14" s="717"/>
      <c r="O14" s="717"/>
      <c r="P14" s="717"/>
    </row>
    <row r="15" spans="1:16" s="477" customFormat="1" ht="16.5" customHeight="1">
      <c r="C15" s="478"/>
      <c r="D15" s="384"/>
      <c r="E15" s="383"/>
      <c r="H15" s="717"/>
      <c r="I15" s="717"/>
      <c r="J15" s="717"/>
      <c r="K15" s="717"/>
      <c r="L15" s="717"/>
      <c r="M15" s="717"/>
      <c r="N15" s="717"/>
      <c r="O15" s="717"/>
      <c r="P15" s="717"/>
    </row>
    <row r="16" spans="1:16" s="477" customFormat="1" ht="15.75" customHeight="1">
      <c r="C16" s="478"/>
      <c r="D16" s="478"/>
      <c r="E16" s="369"/>
    </row>
    <row r="17" spans="1:16" s="477" customFormat="1" ht="16.5">
      <c r="A17" s="477" t="s">
        <v>226</v>
      </c>
      <c r="B17" s="782" t="s">
        <v>227</v>
      </c>
      <c r="C17" s="782"/>
      <c r="D17" s="782"/>
      <c r="E17" s="782"/>
      <c r="F17" s="782"/>
      <c r="G17" s="782"/>
      <c r="H17" s="782"/>
      <c r="I17" s="782"/>
      <c r="J17" s="782"/>
      <c r="K17" s="782"/>
      <c r="L17" s="782"/>
      <c r="M17" s="782"/>
      <c r="N17" s="782"/>
    </row>
    <row r="18" spans="1:16" s="477" customFormat="1" ht="16.5">
      <c r="B18" s="477" t="s">
        <v>228</v>
      </c>
      <c r="C18" s="478" t="s">
        <v>229</v>
      </c>
      <c r="D18" s="478"/>
      <c r="E18" s="385"/>
    </row>
    <row r="19" spans="1:16" s="477" customFormat="1" ht="16.5">
      <c r="C19" s="478" t="s">
        <v>230</v>
      </c>
      <c r="D19" s="382" t="s">
        <v>222</v>
      </c>
      <c r="E19" s="385" t="s">
        <v>231</v>
      </c>
      <c r="F19" s="579"/>
      <c r="G19" s="579"/>
      <c r="H19" s="579"/>
      <c r="I19" s="579"/>
      <c r="J19" s="579"/>
      <c r="K19" s="579"/>
      <c r="L19" s="579"/>
      <c r="M19" s="579"/>
      <c r="N19" s="579"/>
      <c r="O19" s="579"/>
      <c r="P19" s="579"/>
    </row>
    <row r="20" spans="1:16" s="477" customFormat="1" ht="16.5">
      <c r="C20" s="478"/>
      <c r="D20" s="594"/>
      <c r="E20" s="385" t="s">
        <v>232</v>
      </c>
      <c r="F20" s="579"/>
      <c r="G20" s="579"/>
      <c r="H20" s="781"/>
      <c r="I20" s="717"/>
      <c r="J20" s="717"/>
      <c r="K20" s="717"/>
      <c r="L20" s="717"/>
      <c r="M20" s="717"/>
      <c r="N20" s="717"/>
      <c r="O20" s="717"/>
      <c r="P20" s="717"/>
    </row>
    <row r="21" spans="1:16" s="594" customFormat="1" ht="16.5">
      <c r="C21" s="478"/>
      <c r="D21" s="384"/>
      <c r="E21" s="385"/>
      <c r="H21" s="717"/>
      <c r="I21" s="717"/>
      <c r="J21" s="717"/>
      <c r="K21" s="717"/>
      <c r="L21" s="717"/>
      <c r="M21" s="717"/>
      <c r="N21" s="717"/>
      <c r="O21" s="717"/>
      <c r="P21" s="717"/>
    </row>
    <row r="22" spans="1:16" s="477" customFormat="1" ht="16.5">
      <c r="B22" s="477" t="s">
        <v>233</v>
      </c>
      <c r="C22" s="478"/>
      <c r="D22" s="384"/>
      <c r="E22" s="385"/>
      <c r="F22" s="579"/>
      <c r="G22" s="579"/>
      <c r="H22" s="595"/>
      <c r="I22" s="595"/>
      <c r="J22" s="595"/>
      <c r="K22" s="595"/>
      <c r="L22" s="595"/>
      <c r="M22" s="595"/>
      <c r="N22" s="595"/>
      <c r="O22" s="595"/>
      <c r="P22" s="595"/>
    </row>
    <row r="23" spans="1:16" s="477" customFormat="1" ht="16.5">
      <c r="C23" s="478" t="s">
        <v>234</v>
      </c>
      <c r="D23" s="478"/>
      <c r="E23" s="385"/>
      <c r="F23" s="579"/>
      <c r="G23" s="579"/>
      <c r="H23" s="579"/>
      <c r="I23" s="579"/>
      <c r="J23" s="579"/>
      <c r="K23" s="579"/>
      <c r="L23" s="579"/>
      <c r="M23" s="579"/>
      <c r="N23" s="579"/>
      <c r="O23" s="579"/>
      <c r="P23" s="579"/>
    </row>
    <row r="24" spans="1:16" s="477" customFormat="1" ht="16.5">
      <c r="C24" s="478" t="s">
        <v>296</v>
      </c>
      <c r="D24" s="382" t="s">
        <v>222</v>
      </c>
      <c r="E24" s="385" t="s">
        <v>194</v>
      </c>
      <c r="F24" s="579"/>
      <c r="G24" s="579"/>
      <c r="H24" s="579"/>
      <c r="I24" s="579"/>
      <c r="J24" s="579"/>
      <c r="K24" s="579"/>
      <c r="L24" s="579"/>
      <c r="M24" s="579"/>
      <c r="N24" s="579"/>
      <c r="O24" s="579"/>
      <c r="P24" s="579"/>
    </row>
    <row r="25" spans="1:16" s="477" customFormat="1" ht="16.5">
      <c r="C25" s="579"/>
      <c r="D25" s="579"/>
      <c r="E25" s="60" t="s">
        <v>195</v>
      </c>
      <c r="F25" s="579"/>
      <c r="G25" s="579"/>
      <c r="H25" s="579"/>
      <c r="I25" s="579"/>
      <c r="J25" s="579"/>
      <c r="K25" s="579"/>
      <c r="L25" s="579"/>
      <c r="M25" s="579"/>
      <c r="N25" s="579"/>
      <c r="O25" s="579"/>
      <c r="P25" s="579"/>
    </row>
    <row r="26" spans="1:16" s="477" customFormat="1" ht="16.5">
      <c r="E26" s="61"/>
    </row>
    <row r="27" spans="1:16" s="477" customFormat="1" ht="16.5">
      <c r="E27" s="61"/>
    </row>
    <row r="28" spans="1:16" s="477" customFormat="1" ht="16.5">
      <c r="E28" s="61"/>
    </row>
    <row r="29" spans="1:16" s="477" customFormat="1" ht="16.5">
      <c r="E29" s="61"/>
    </row>
    <row r="30" spans="1:16" s="477" customFormat="1" ht="16.5">
      <c r="E30" s="61"/>
    </row>
    <row r="31" spans="1:16" s="477" customFormat="1" ht="16.5">
      <c r="E31" s="61"/>
    </row>
    <row r="32" spans="1:16" s="477" customFormat="1" ht="16.5">
      <c r="E32" s="61"/>
    </row>
    <row r="33" spans="5:5" s="477" customFormat="1" ht="16.5">
      <c r="E33" s="61"/>
    </row>
    <row r="34" spans="5:5" s="477" customFormat="1" ht="16.5">
      <c r="E34" s="61"/>
    </row>
    <row r="35" spans="5:5" s="477" customFormat="1" ht="16.5">
      <c r="E35" s="61"/>
    </row>
    <row r="36" spans="5:5" s="477" customFormat="1" ht="16.5">
      <c r="E36" s="61"/>
    </row>
    <row r="37" spans="5:5" s="477" customFormat="1" ht="16.5">
      <c r="E37" s="61"/>
    </row>
    <row r="38" spans="5:5" s="477" customFormat="1" ht="16.5">
      <c r="E38" s="61"/>
    </row>
    <row r="39" spans="5:5" s="477" customFormat="1" ht="16.5">
      <c r="E39" s="61"/>
    </row>
    <row r="40" spans="5:5" s="477" customFormat="1" ht="16.5">
      <c r="E40" s="61"/>
    </row>
    <row r="41" spans="5:5" s="477" customFormat="1" ht="16.5">
      <c r="E41" s="61"/>
    </row>
    <row r="42" spans="5:5" s="477" customFormat="1" ht="16.5">
      <c r="E42" s="61"/>
    </row>
    <row r="43" spans="5:5" s="477" customFormat="1" ht="16.5">
      <c r="E43" s="61"/>
    </row>
    <row r="44" spans="5:5" s="477" customFormat="1" ht="16.5">
      <c r="E44" s="61"/>
    </row>
    <row r="45" spans="5:5" s="477" customFormat="1" ht="16.5">
      <c r="E45" s="61"/>
    </row>
    <row r="46" spans="5:5" s="477" customFormat="1" ht="16.5">
      <c r="E46" s="61"/>
    </row>
    <row r="47" spans="5:5" s="477" customFormat="1" ht="16.5">
      <c r="E47" s="61"/>
    </row>
    <row r="48" spans="5:5" s="477" customFormat="1" ht="16.5">
      <c r="E48" s="61"/>
    </row>
    <row r="49" spans="5:5" s="477" customFormat="1" ht="16.5">
      <c r="E49" s="61"/>
    </row>
    <row r="50" spans="5:5" s="477" customFormat="1" ht="16.5">
      <c r="E50" s="61"/>
    </row>
    <row r="51" spans="5:5" s="477" customFormat="1" ht="16.5">
      <c r="E51" s="61"/>
    </row>
    <row r="52" spans="5:5" s="477" customFormat="1" ht="16.5">
      <c r="E52" s="61"/>
    </row>
    <row r="53" spans="5:5" s="477" customFormat="1" ht="16.5">
      <c r="E53" s="61"/>
    </row>
    <row r="54" spans="5:5" s="477" customFormat="1" ht="16.5">
      <c r="E54" s="61"/>
    </row>
    <row r="55" spans="5:5" s="477" customFormat="1" ht="16.5">
      <c r="E55" s="61"/>
    </row>
    <row r="56" spans="5:5" s="477" customFormat="1" ht="16.5">
      <c r="E56" s="61"/>
    </row>
    <row r="57" spans="5:5" s="477" customFormat="1" ht="16.5">
      <c r="E57" s="61"/>
    </row>
    <row r="58" spans="5:5" s="477" customFormat="1" ht="16.5">
      <c r="E58" s="61"/>
    </row>
    <row r="59" spans="5:5" s="477" customFormat="1" ht="16.5">
      <c r="E59" s="61"/>
    </row>
    <row r="60" spans="5:5" s="477" customFormat="1" ht="16.5">
      <c r="E60" s="61"/>
    </row>
    <row r="61" spans="5:5" s="477" customFormat="1" ht="16.5">
      <c r="E61" s="61"/>
    </row>
    <row r="62" spans="5:5" s="477" customFormat="1" ht="16.5">
      <c r="E62" s="61"/>
    </row>
    <row r="63" spans="5:5" s="477" customFormat="1" ht="16.5">
      <c r="E63" s="61"/>
    </row>
  </sheetData>
  <mergeCells count="7">
    <mergeCell ref="H20:P21"/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="90" zoomScaleSheetLayoutView="90" workbookViewId="0">
      <pane xSplit="2" ySplit="13" topLeftCell="C14" activePane="bottomRight" state="frozen"/>
      <selection activeCell="T25" sqref="T25"/>
      <selection pane="topRight" activeCell="T25" sqref="T25"/>
      <selection pane="bottomLeft" activeCell="T25" sqref="T25"/>
      <selection pane="bottomRight" activeCell="I36" sqref="I36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626"/>
      <c r="J1" s="626"/>
      <c r="K1" s="626"/>
      <c r="L1" s="626"/>
      <c r="M1" s="626"/>
      <c r="N1" s="626"/>
    </row>
    <row r="2" spans="1:18" ht="19.5" hidden="1" customHeight="1">
      <c r="A2" s="331"/>
      <c r="B2" s="331"/>
      <c r="C2" s="331"/>
      <c r="D2" s="331"/>
      <c r="E2" s="331"/>
      <c r="F2" s="331"/>
      <c r="G2" s="331"/>
      <c r="H2" s="331"/>
    </row>
    <row r="3" spans="1:18" ht="14.25" hidden="1" customHeight="1"/>
    <row r="4" spans="1:18" ht="19.899999999999999" customHeight="1">
      <c r="A4" s="734" t="s">
        <v>311</v>
      </c>
      <c r="B4" s="734"/>
      <c r="C4" s="734"/>
      <c r="D4" s="734"/>
      <c r="E4" s="734"/>
      <c r="F4" s="734"/>
      <c r="G4" s="734"/>
      <c r="H4" s="734"/>
      <c r="I4" s="626"/>
      <c r="J4" s="626"/>
      <c r="K4" s="626"/>
      <c r="L4" s="626"/>
      <c r="M4" s="626"/>
      <c r="N4" s="626"/>
    </row>
    <row r="5" spans="1:18" ht="6.75" customHeight="1"/>
    <row r="6" spans="1:18" ht="16.5">
      <c r="A6" s="719" t="str">
        <f>封面!$E$10&amp;封面!$H$10&amp;封面!$I$10&amp;封面!$J$10&amp;封面!$K$10&amp;封面!$O$10&amp;"日"</f>
        <v>中華民國112年8月31日</v>
      </c>
      <c r="B6" s="719"/>
      <c r="C6" s="719"/>
      <c r="D6" s="719"/>
      <c r="E6" s="719"/>
      <c r="F6" s="719"/>
      <c r="G6" s="719"/>
      <c r="H6" s="719"/>
      <c r="I6" s="626"/>
      <c r="J6" s="626"/>
      <c r="K6" s="626"/>
      <c r="L6" s="626"/>
      <c r="M6" s="626"/>
      <c r="N6" s="626"/>
    </row>
    <row r="7" spans="1:18" ht="16.5">
      <c r="A7" s="658" t="s">
        <v>39</v>
      </c>
      <c r="B7" s="658"/>
      <c r="C7" s="658"/>
      <c r="D7" s="658"/>
      <c r="E7" s="658"/>
      <c r="F7" s="658"/>
      <c r="G7" s="658"/>
      <c r="H7" s="658"/>
      <c r="I7" s="626"/>
      <c r="J7" s="626"/>
      <c r="K7" s="626"/>
      <c r="L7" s="626"/>
      <c r="M7" s="626"/>
      <c r="N7" s="626"/>
    </row>
    <row r="8" spans="1:18" ht="6" hidden="1" customHeight="1"/>
    <row r="9" spans="1:18" s="344" customFormat="1" ht="21" customHeight="1">
      <c r="A9" s="791" t="s">
        <v>308</v>
      </c>
      <c r="B9" s="792"/>
      <c r="C9" s="792"/>
      <c r="D9" s="792"/>
      <c r="E9" s="792"/>
      <c r="F9" s="791" t="s">
        <v>198</v>
      </c>
      <c r="G9" s="792"/>
      <c r="H9" s="792"/>
      <c r="I9" s="792"/>
      <c r="J9" s="792"/>
      <c r="K9" s="792"/>
      <c r="L9" s="792"/>
      <c r="M9" s="792"/>
      <c r="N9" s="792"/>
      <c r="O9" s="343"/>
      <c r="P9" s="343"/>
      <c r="Q9" s="343"/>
      <c r="R9" s="343"/>
    </row>
    <row r="10" spans="1:18" s="344" customFormat="1" ht="21" customHeight="1">
      <c r="A10" s="792"/>
      <c r="B10" s="792"/>
      <c r="C10" s="792"/>
      <c r="D10" s="792"/>
      <c r="E10" s="792"/>
      <c r="F10" s="788" t="s">
        <v>309</v>
      </c>
      <c r="G10" s="789"/>
      <c r="H10" s="789"/>
      <c r="I10" s="790"/>
      <c r="J10" s="795" t="s">
        <v>310</v>
      </c>
      <c r="K10" s="795"/>
      <c r="L10" s="795"/>
      <c r="M10" s="795"/>
      <c r="N10" s="795"/>
    </row>
    <row r="11" spans="1:18" s="336" customFormat="1" ht="12.75" hidden="1" customHeight="1">
      <c r="A11" s="345"/>
      <c r="B11" s="346"/>
      <c r="C11" s="346"/>
      <c r="D11" s="346"/>
      <c r="E11" s="346"/>
      <c r="F11" s="7"/>
      <c r="G11" s="7"/>
      <c r="H11" s="334"/>
      <c r="I11" s="342"/>
      <c r="J11" s="347"/>
      <c r="K11" s="347"/>
      <c r="L11" s="347"/>
      <c r="M11" s="347"/>
      <c r="N11" s="348"/>
    </row>
    <row r="12" spans="1:18" s="336" customFormat="1" ht="12.75" hidden="1" customHeight="1">
      <c r="A12" s="345"/>
      <c r="B12" s="346"/>
      <c r="C12" s="346"/>
      <c r="D12" s="346"/>
      <c r="E12" s="346"/>
      <c r="F12" s="7"/>
      <c r="G12" s="7"/>
      <c r="H12" s="14"/>
      <c r="I12" s="14"/>
      <c r="J12" s="347"/>
      <c r="K12" s="347"/>
      <c r="L12" s="347"/>
      <c r="M12" s="347"/>
      <c r="N12" s="348"/>
    </row>
    <row r="13" spans="1:18" s="336" customFormat="1" ht="9" hidden="1" customHeight="1">
      <c r="A13" s="345"/>
      <c r="B13" s="346"/>
      <c r="C13" s="386"/>
      <c r="D13" s="386"/>
      <c r="E13" s="386"/>
      <c r="F13" s="7"/>
      <c r="G13" s="7"/>
      <c r="H13" s="11"/>
      <c r="I13" s="11"/>
      <c r="J13" s="347"/>
      <c r="K13" s="347"/>
      <c r="L13" s="347"/>
      <c r="M13" s="347"/>
      <c r="N13" s="348"/>
    </row>
    <row r="14" spans="1:18" s="517" customFormat="1" ht="14.85" customHeight="1">
      <c r="A14" s="793" t="s">
        <v>395</v>
      </c>
      <c r="B14" s="794"/>
      <c r="C14" s="794"/>
      <c r="D14" s="794"/>
      <c r="E14" s="510"/>
      <c r="F14" s="511"/>
      <c r="G14" s="512"/>
      <c r="H14" s="512"/>
      <c r="I14" s="513">
        <f>SUM(I15:I25)/2</f>
        <v>6861900</v>
      </c>
      <c r="J14" s="514"/>
      <c r="K14" s="515"/>
      <c r="L14" s="515"/>
      <c r="M14" s="516"/>
      <c r="N14" s="513">
        <f>I14+[4]收支!N14</f>
        <v>33119710</v>
      </c>
    </row>
    <row r="15" spans="1:18" s="517" customFormat="1" ht="14.85" customHeight="1">
      <c r="A15" s="518"/>
      <c r="B15" s="786" t="s">
        <v>396</v>
      </c>
      <c r="C15" s="786"/>
      <c r="D15" s="786"/>
      <c r="E15" s="787"/>
      <c r="F15" s="519"/>
      <c r="G15" s="520"/>
      <c r="H15" s="520"/>
      <c r="I15" s="521">
        <f>I16</f>
        <v>0</v>
      </c>
      <c r="J15" s="522"/>
      <c r="K15" s="523"/>
      <c r="L15" s="523"/>
      <c r="M15" s="524"/>
      <c r="N15" s="521">
        <f>I15+[4]收支!N15</f>
        <v>5923</v>
      </c>
    </row>
    <row r="16" spans="1:18" s="474" customFormat="1" ht="14.85" customHeight="1">
      <c r="A16" s="473"/>
      <c r="B16" s="468"/>
      <c r="C16" s="469" t="s">
        <v>397</v>
      </c>
      <c r="D16" s="469"/>
      <c r="E16" s="470"/>
      <c r="F16" s="428"/>
      <c r="G16" s="429"/>
      <c r="H16" s="429"/>
      <c r="I16" s="447"/>
      <c r="J16" s="448"/>
      <c r="K16" s="449"/>
      <c r="L16" s="449"/>
      <c r="M16" s="450"/>
      <c r="N16" s="447">
        <f>I16+[4]收支!N16</f>
        <v>5923</v>
      </c>
    </row>
    <row r="17" spans="1:14" s="517" customFormat="1" ht="14.85" customHeight="1">
      <c r="A17" s="525"/>
      <c r="B17" s="786" t="s">
        <v>329</v>
      </c>
      <c r="C17" s="786"/>
      <c r="D17" s="786"/>
      <c r="E17" s="787"/>
      <c r="F17" s="519"/>
      <c r="G17" s="520"/>
      <c r="H17" s="520"/>
      <c r="I17" s="521">
        <f>SUM(I18:I21)</f>
        <v>1138900</v>
      </c>
      <c r="J17" s="522"/>
      <c r="K17" s="523"/>
      <c r="L17" s="523"/>
      <c r="M17" s="524"/>
      <c r="N17" s="521">
        <f>I17+[4]收支!N17</f>
        <v>4509927</v>
      </c>
    </row>
    <row r="18" spans="1:14" s="547" customFormat="1" ht="14.85" hidden="1" customHeight="1">
      <c r="A18" s="538"/>
      <c r="B18" s="539"/>
      <c r="C18" s="469" t="s">
        <v>444</v>
      </c>
      <c r="D18" s="539"/>
      <c r="E18" s="540"/>
      <c r="F18" s="541"/>
      <c r="G18" s="542"/>
      <c r="H18" s="542"/>
      <c r="I18" s="543"/>
      <c r="J18" s="544"/>
      <c r="K18" s="545"/>
      <c r="L18" s="545"/>
      <c r="M18" s="546"/>
      <c r="N18" s="447">
        <f>I18+[4]收支!N18</f>
        <v>0</v>
      </c>
    </row>
    <row r="19" spans="1:14" s="474" customFormat="1" ht="14.85" hidden="1" customHeight="1">
      <c r="A19" s="438"/>
      <c r="B19" s="468"/>
      <c r="C19" s="469" t="s">
        <v>398</v>
      </c>
      <c r="D19" s="469"/>
      <c r="E19" s="470"/>
      <c r="F19" s="428"/>
      <c r="G19" s="429"/>
      <c r="H19" s="429"/>
      <c r="I19" s="447"/>
      <c r="J19" s="448"/>
      <c r="K19" s="449"/>
      <c r="L19" s="449"/>
      <c r="M19" s="450"/>
      <c r="N19" s="447">
        <f>I19+[4]收支!N19</f>
        <v>0</v>
      </c>
    </row>
    <row r="20" spans="1:14" s="474" customFormat="1" ht="14.85" customHeight="1">
      <c r="A20" s="438"/>
      <c r="B20" s="468"/>
      <c r="C20" s="469" t="s">
        <v>399</v>
      </c>
      <c r="D20" s="469"/>
      <c r="E20" s="470"/>
      <c r="F20" s="428"/>
      <c r="G20" s="429"/>
      <c r="H20" s="429"/>
      <c r="I20" s="447"/>
      <c r="J20" s="448"/>
      <c r="K20" s="449"/>
      <c r="L20" s="449"/>
      <c r="M20" s="450"/>
      <c r="N20" s="447">
        <f>I20+[4]收支!N20</f>
        <v>2244385</v>
      </c>
    </row>
    <row r="21" spans="1:14" s="474" customFormat="1" ht="14.85" customHeight="1">
      <c r="A21" s="438"/>
      <c r="B21" s="468"/>
      <c r="C21" s="469" t="s">
        <v>400</v>
      </c>
      <c r="D21" s="469"/>
      <c r="E21" s="470"/>
      <c r="F21" s="428"/>
      <c r="G21" s="429"/>
      <c r="H21" s="429"/>
      <c r="I21" s="447">
        <v>1138900</v>
      </c>
      <c r="J21" s="448"/>
      <c r="K21" s="449"/>
      <c r="L21" s="449"/>
      <c r="M21" s="450"/>
      <c r="N21" s="447">
        <f>I21+[4]收支!N21</f>
        <v>2265542</v>
      </c>
    </row>
    <row r="22" spans="1:14" s="527" customFormat="1" ht="14.85" customHeight="1">
      <c r="A22" s="526"/>
      <c r="B22" s="786" t="s">
        <v>401</v>
      </c>
      <c r="C22" s="786"/>
      <c r="D22" s="786"/>
      <c r="E22" s="787"/>
      <c r="F22" s="519"/>
      <c r="G22" s="520"/>
      <c r="H22" s="520"/>
      <c r="I22" s="521">
        <f>I23</f>
        <v>5723000</v>
      </c>
      <c r="J22" s="522"/>
      <c r="K22" s="523"/>
      <c r="L22" s="523"/>
      <c r="M22" s="524"/>
      <c r="N22" s="521">
        <f>I22+[4]收支!N22</f>
        <v>28603013</v>
      </c>
    </row>
    <row r="23" spans="1:14" s="475" customFormat="1" ht="14.85" customHeight="1">
      <c r="A23" s="439"/>
      <c r="B23" s="442"/>
      <c r="C23" s="443" t="s">
        <v>402</v>
      </c>
      <c r="D23" s="443"/>
      <c r="E23" s="444"/>
      <c r="F23" s="439"/>
      <c r="G23" s="440"/>
      <c r="H23" s="440"/>
      <c r="I23" s="445">
        <v>5723000</v>
      </c>
      <c r="J23" s="438"/>
      <c r="K23" s="442"/>
      <c r="L23" s="442"/>
      <c r="M23" s="446"/>
      <c r="N23" s="445">
        <f>I23+[4]收支!N23</f>
        <v>28603013</v>
      </c>
    </row>
    <row r="24" spans="1:14" s="527" customFormat="1" ht="14.85" customHeight="1">
      <c r="A24" s="526"/>
      <c r="B24" s="528" t="s">
        <v>403</v>
      </c>
      <c r="C24" s="529"/>
      <c r="D24" s="529"/>
      <c r="E24" s="530"/>
      <c r="F24" s="526"/>
      <c r="G24" s="531"/>
      <c r="H24" s="531"/>
      <c r="I24" s="532">
        <f>I25</f>
        <v>0</v>
      </c>
      <c r="J24" s="525"/>
      <c r="K24" s="528"/>
      <c r="L24" s="528"/>
      <c r="M24" s="533"/>
      <c r="N24" s="532">
        <f>I24+[4]收支!N24</f>
        <v>847</v>
      </c>
    </row>
    <row r="25" spans="1:14" s="475" customFormat="1" ht="14.85" customHeight="1">
      <c r="A25" s="439"/>
      <c r="B25" s="442"/>
      <c r="C25" s="443" t="s">
        <v>404</v>
      </c>
      <c r="D25" s="443"/>
      <c r="E25" s="444"/>
      <c r="F25" s="439"/>
      <c r="G25" s="440"/>
      <c r="H25" s="440"/>
      <c r="I25" s="445"/>
      <c r="J25" s="438"/>
      <c r="K25" s="442"/>
      <c r="L25" s="442"/>
      <c r="M25" s="446"/>
      <c r="N25" s="445">
        <f>I25+[4]收支!N25</f>
        <v>847</v>
      </c>
    </row>
    <row r="26" spans="1:14" s="527" customFormat="1" ht="14.85" customHeight="1">
      <c r="A26" s="800" t="s">
        <v>330</v>
      </c>
      <c r="B26" s="786"/>
      <c r="C26" s="786"/>
      <c r="D26" s="786"/>
      <c r="E26" s="534"/>
      <c r="F26" s="519"/>
      <c r="G26" s="520"/>
      <c r="H26" s="520"/>
      <c r="I26" s="521">
        <f>SUM(I27:I36)/2</f>
        <v>5459049</v>
      </c>
      <c r="J26" s="522"/>
      <c r="K26" s="523"/>
      <c r="L26" s="523"/>
      <c r="M26" s="524"/>
      <c r="N26" s="521">
        <f>I26+[4]收支!N26</f>
        <v>28943306</v>
      </c>
    </row>
    <row r="27" spans="1:14" s="527" customFormat="1" ht="14.85" customHeight="1">
      <c r="A27" s="526"/>
      <c r="B27" s="786" t="s">
        <v>405</v>
      </c>
      <c r="C27" s="786"/>
      <c r="D27" s="786"/>
      <c r="E27" s="787"/>
      <c r="F27" s="519"/>
      <c r="G27" s="520"/>
      <c r="H27" s="520"/>
      <c r="I27" s="521">
        <f>I28</f>
        <v>5023677</v>
      </c>
      <c r="J27" s="522"/>
      <c r="K27" s="523"/>
      <c r="L27" s="523"/>
      <c r="M27" s="524"/>
      <c r="N27" s="521">
        <f>I27+[4]收支!N27</f>
        <v>25724025</v>
      </c>
    </row>
    <row r="28" spans="1:14" s="475" customFormat="1" ht="14.85" customHeight="1">
      <c r="A28" s="439"/>
      <c r="B28" s="468"/>
      <c r="C28" s="469" t="s">
        <v>405</v>
      </c>
      <c r="D28" s="469"/>
      <c r="E28" s="470"/>
      <c r="F28" s="428"/>
      <c r="G28" s="429"/>
      <c r="H28" s="429"/>
      <c r="I28" s="447">
        <v>5023677</v>
      </c>
      <c r="J28" s="448"/>
      <c r="K28" s="449"/>
      <c r="L28" s="449"/>
      <c r="M28" s="450"/>
      <c r="N28" s="447">
        <f>I28+[4]收支!N28</f>
        <v>25724025</v>
      </c>
    </row>
    <row r="29" spans="1:14" s="527" customFormat="1" ht="14.85" customHeight="1">
      <c r="A29" s="526"/>
      <c r="B29" s="786" t="s">
        <v>406</v>
      </c>
      <c r="C29" s="786"/>
      <c r="D29" s="786"/>
      <c r="E29" s="787"/>
      <c r="F29" s="519"/>
      <c r="G29" s="520"/>
      <c r="H29" s="520"/>
      <c r="I29" s="521">
        <f>I30</f>
        <v>140866</v>
      </c>
      <c r="J29" s="522"/>
      <c r="K29" s="523"/>
      <c r="L29" s="523"/>
      <c r="M29" s="524"/>
      <c r="N29" s="521">
        <f>I29+[4]收支!N29</f>
        <v>1060741</v>
      </c>
    </row>
    <row r="30" spans="1:14" s="475" customFormat="1" ht="14.85" customHeight="1">
      <c r="A30" s="439"/>
      <c r="B30" s="468"/>
      <c r="C30" s="469" t="s">
        <v>406</v>
      </c>
      <c r="D30" s="469"/>
      <c r="E30" s="470"/>
      <c r="F30" s="428"/>
      <c r="G30" s="429"/>
      <c r="H30" s="429"/>
      <c r="I30" s="447">
        <v>140866</v>
      </c>
      <c r="J30" s="448"/>
      <c r="K30" s="449"/>
      <c r="L30" s="449"/>
      <c r="M30" s="450"/>
      <c r="N30" s="447">
        <f>I30+[4]收支!N30</f>
        <v>1060741</v>
      </c>
    </row>
    <row r="31" spans="1:14" s="527" customFormat="1" ht="14.85" customHeight="1">
      <c r="A31" s="526"/>
      <c r="B31" s="535" t="s">
        <v>407</v>
      </c>
      <c r="C31" s="536"/>
      <c r="D31" s="536"/>
      <c r="E31" s="537"/>
      <c r="F31" s="519"/>
      <c r="G31" s="520"/>
      <c r="H31" s="520"/>
      <c r="I31" s="521">
        <f>I32</f>
        <v>0</v>
      </c>
      <c r="J31" s="522"/>
      <c r="K31" s="523"/>
      <c r="L31" s="523"/>
      <c r="M31" s="524"/>
      <c r="N31" s="521">
        <f>I31+[4]收支!N31</f>
        <v>649</v>
      </c>
    </row>
    <row r="32" spans="1:14" s="475" customFormat="1" ht="14.85" customHeight="1">
      <c r="A32" s="439"/>
      <c r="B32" s="468"/>
      <c r="C32" s="469" t="s">
        <v>408</v>
      </c>
      <c r="D32" s="469"/>
      <c r="E32" s="470"/>
      <c r="F32" s="428"/>
      <c r="G32" s="429"/>
      <c r="H32" s="429"/>
      <c r="I32" s="447"/>
      <c r="J32" s="448"/>
      <c r="K32" s="449"/>
      <c r="L32" s="449"/>
      <c r="M32" s="450"/>
      <c r="N32" s="447">
        <f>I32+[4]收支!N32</f>
        <v>649</v>
      </c>
    </row>
    <row r="33" spans="1:14" s="527" customFormat="1" ht="14.85" customHeight="1">
      <c r="A33" s="526"/>
      <c r="B33" s="786" t="s">
        <v>409</v>
      </c>
      <c r="C33" s="786"/>
      <c r="D33" s="786"/>
      <c r="E33" s="787"/>
      <c r="F33" s="519"/>
      <c r="G33" s="520"/>
      <c r="H33" s="520"/>
      <c r="I33" s="521">
        <f>I34</f>
        <v>294506</v>
      </c>
      <c r="J33" s="522"/>
      <c r="K33" s="523"/>
      <c r="L33" s="523"/>
      <c r="M33" s="524"/>
      <c r="N33" s="521">
        <f>I33+[4]收支!N33</f>
        <v>2157571</v>
      </c>
    </row>
    <row r="34" spans="1:14" s="475" customFormat="1" ht="14.85" customHeight="1">
      <c r="A34" s="439"/>
      <c r="B34" s="442"/>
      <c r="C34" s="443" t="s">
        <v>410</v>
      </c>
      <c r="D34" s="443"/>
      <c r="E34" s="444"/>
      <c r="F34" s="439"/>
      <c r="G34" s="440"/>
      <c r="H34" s="440"/>
      <c r="I34" s="447">
        <v>294506</v>
      </c>
      <c r="J34" s="438"/>
      <c r="K34" s="442"/>
      <c r="L34" s="442"/>
      <c r="M34" s="446"/>
      <c r="N34" s="447">
        <f>I34+[4]收支!N34</f>
        <v>2157571</v>
      </c>
    </row>
    <row r="35" spans="1:14" s="527" customFormat="1" ht="14.85" customHeight="1">
      <c r="A35" s="526"/>
      <c r="B35" s="528" t="s">
        <v>411</v>
      </c>
      <c r="C35" s="529"/>
      <c r="D35" s="529"/>
      <c r="E35" s="530"/>
      <c r="F35" s="526"/>
      <c r="G35" s="531"/>
      <c r="H35" s="531"/>
      <c r="I35" s="521">
        <f>I36</f>
        <v>0</v>
      </c>
      <c r="J35" s="525"/>
      <c r="K35" s="528"/>
      <c r="L35" s="528"/>
      <c r="M35" s="533"/>
      <c r="N35" s="521">
        <f>I35+[4]收支!N35</f>
        <v>320</v>
      </c>
    </row>
    <row r="36" spans="1:14" s="475" customFormat="1" ht="14.85" customHeight="1">
      <c r="A36" s="439"/>
      <c r="B36" s="442"/>
      <c r="C36" s="443" t="s">
        <v>411</v>
      </c>
      <c r="D36" s="443"/>
      <c r="E36" s="444"/>
      <c r="F36" s="439"/>
      <c r="G36" s="440"/>
      <c r="H36" s="440"/>
      <c r="I36" s="447"/>
      <c r="J36" s="438"/>
      <c r="K36" s="442"/>
      <c r="L36" s="442"/>
      <c r="M36" s="446"/>
      <c r="N36" s="447">
        <f>I36+[4]收支!N36</f>
        <v>320</v>
      </c>
    </row>
    <row r="37" spans="1:14" s="527" customFormat="1" ht="14.85" customHeight="1">
      <c r="A37" s="801" t="s">
        <v>412</v>
      </c>
      <c r="B37" s="802"/>
      <c r="C37" s="803"/>
      <c r="D37" s="803"/>
      <c r="E37" s="534"/>
      <c r="F37" s="519"/>
      <c r="G37" s="520"/>
      <c r="H37" s="520"/>
      <c r="I37" s="521">
        <f>I14-I26</f>
        <v>1402851</v>
      </c>
      <c r="J37" s="522"/>
      <c r="K37" s="523"/>
      <c r="L37" s="523"/>
      <c r="M37" s="524"/>
      <c r="N37" s="521">
        <f>I37+[4]收支!N37</f>
        <v>4176404</v>
      </c>
    </row>
    <row r="38" spans="1:14" s="475" customFormat="1" ht="14.85" customHeight="1">
      <c r="A38" s="796" t="s">
        <v>331</v>
      </c>
      <c r="B38" s="797"/>
      <c r="C38" s="797"/>
      <c r="D38" s="797"/>
      <c r="E38" s="441"/>
      <c r="F38" s="351"/>
      <c r="G38" s="352"/>
      <c r="H38" s="353"/>
      <c r="I38" s="447"/>
      <c r="J38" s="448"/>
      <c r="K38" s="449"/>
      <c r="L38" s="449"/>
      <c r="M38" s="450"/>
      <c r="N38" s="568">
        <f>I38+[5]收支!N40</f>
        <v>42779832</v>
      </c>
    </row>
    <row r="39" spans="1:14" s="475" customFormat="1" ht="14.85" customHeight="1">
      <c r="A39" s="796" t="s">
        <v>332</v>
      </c>
      <c r="B39" s="797"/>
      <c r="C39" s="797"/>
      <c r="D39" s="797"/>
      <c r="E39" s="441"/>
      <c r="F39" s="354"/>
      <c r="G39" s="352"/>
      <c r="H39" s="355"/>
      <c r="I39" s="447"/>
      <c r="J39" s="438"/>
      <c r="K39" s="442"/>
      <c r="L39" s="442"/>
      <c r="M39" s="446"/>
      <c r="N39" s="447">
        <f>I39+[5]收支!N39</f>
        <v>0</v>
      </c>
    </row>
    <row r="40" spans="1:14" s="509" customFormat="1" ht="14.85" customHeight="1">
      <c r="A40" s="798" t="s">
        <v>413</v>
      </c>
      <c r="B40" s="799"/>
      <c r="C40" s="799"/>
      <c r="D40" s="799"/>
      <c r="E40" s="501"/>
      <c r="F40" s="502"/>
      <c r="G40" s="503"/>
      <c r="H40" s="504"/>
      <c r="I40" s="505">
        <f>I37+I38-I39</f>
        <v>1402851</v>
      </c>
      <c r="J40" s="506"/>
      <c r="K40" s="507"/>
      <c r="L40" s="507"/>
      <c r="M40" s="508"/>
      <c r="N40" s="505">
        <f>N37+N38-N39</f>
        <v>46956236</v>
      </c>
    </row>
    <row r="41" spans="1:14" s="474" customFormat="1" ht="12.75" hidden="1" customHeight="1">
      <c r="A41" s="356"/>
      <c r="B41" s="356"/>
      <c r="C41" s="356"/>
      <c r="D41" s="356"/>
      <c r="E41" s="475"/>
      <c r="F41" s="475"/>
      <c r="G41" s="475"/>
      <c r="H41" s="475"/>
      <c r="I41" s="475">
        <v>0</v>
      </c>
    </row>
    <row r="42" spans="1:14" s="475" customFormat="1" ht="16.5">
      <c r="A42" s="356" t="s">
        <v>414</v>
      </c>
      <c r="B42" s="356"/>
      <c r="C42" s="356" t="s">
        <v>465</v>
      </c>
      <c r="D42" s="356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="90" zoomScaleSheetLayoutView="90" workbookViewId="0">
      <pane xSplit="2" ySplit="12" topLeftCell="C13" activePane="bottomRight" state="frozen"/>
      <selection activeCell="T25" sqref="T25"/>
      <selection pane="topRight" activeCell="T25" sqref="T25"/>
      <selection pane="bottomLeft" activeCell="T25" sqref="T25"/>
      <selection pane="bottomRight" activeCell="D27" sqref="D27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626"/>
      <c r="H1" s="626"/>
      <c r="I1" s="626"/>
    </row>
    <row r="2" spans="1:10" ht="19.5" hidden="1" customHeight="1">
      <c r="A2" s="331"/>
      <c r="B2" s="331"/>
      <c r="C2" s="331"/>
      <c r="D2" s="331"/>
      <c r="E2" s="331"/>
      <c r="F2" s="331"/>
    </row>
    <row r="3" spans="1:10" ht="14.25" hidden="1" customHeight="1"/>
    <row r="4" spans="1:10" ht="21">
      <c r="A4" s="734" t="s">
        <v>312</v>
      </c>
      <c r="B4" s="734"/>
      <c r="C4" s="734"/>
      <c r="D4" s="734"/>
      <c r="E4" s="734"/>
      <c r="F4" s="734"/>
      <c r="G4" s="626"/>
      <c r="H4" s="626"/>
      <c r="I4" s="626"/>
    </row>
    <row r="5" spans="1:10" ht="6.75" customHeight="1"/>
    <row r="6" spans="1:10" ht="16.5">
      <c r="A6" s="719" t="str">
        <f>封面!$E$10&amp;封面!$H$10&amp;封面!$I$10&amp;封面!$J$10&amp;封面!$K$10&amp;封面!L10</f>
        <v>中華民國112年8月份</v>
      </c>
      <c r="B6" s="719"/>
      <c r="C6" s="719"/>
      <c r="D6" s="719"/>
      <c r="E6" s="719"/>
      <c r="F6" s="719"/>
      <c r="G6" s="626"/>
      <c r="H6" s="626"/>
      <c r="I6" s="626"/>
    </row>
    <row r="7" spans="1:10" ht="16.5">
      <c r="A7" s="658" t="s">
        <v>39</v>
      </c>
      <c r="B7" s="658"/>
      <c r="C7" s="658"/>
      <c r="D7" s="658"/>
      <c r="E7" s="658"/>
      <c r="F7" s="658"/>
      <c r="G7" s="626"/>
      <c r="H7" s="626"/>
      <c r="I7" s="626"/>
    </row>
    <row r="8" spans="1:10" ht="6" customHeight="1"/>
    <row r="9" spans="1:10" s="357" customFormat="1" ht="42.75" customHeight="1">
      <c r="A9" s="792" t="s">
        <v>313</v>
      </c>
      <c r="B9" s="792"/>
      <c r="C9" s="358" t="s">
        <v>314</v>
      </c>
      <c r="D9" s="359" t="s">
        <v>315</v>
      </c>
      <c r="E9" s="359" t="s">
        <v>316</v>
      </c>
      <c r="F9" s="359"/>
      <c r="G9" s="792" t="s">
        <v>317</v>
      </c>
      <c r="H9" s="750"/>
      <c r="I9" s="750"/>
    </row>
    <row r="10" spans="1:10" s="336" customFormat="1" ht="12.75" hidden="1" customHeight="1">
      <c r="A10" s="360"/>
      <c r="B10" s="360"/>
      <c r="C10" s="361"/>
      <c r="D10" s="361"/>
      <c r="E10" s="333"/>
      <c r="F10" s="333"/>
      <c r="G10" s="807" t="s">
        <v>317</v>
      </c>
      <c r="H10" s="768"/>
      <c r="I10" s="768"/>
    </row>
    <row r="11" spans="1:10" s="336" customFormat="1" ht="12.75" hidden="1" customHeight="1">
      <c r="A11" s="360"/>
      <c r="B11" s="360"/>
      <c r="C11" s="361"/>
      <c r="D11" s="361"/>
      <c r="E11" s="361"/>
      <c r="F11" s="361"/>
      <c r="G11" s="807" t="s">
        <v>317</v>
      </c>
      <c r="H11" s="768"/>
      <c r="I11" s="768"/>
    </row>
    <row r="12" spans="1:10" s="336" customFormat="1" ht="9" hidden="1" customHeight="1">
      <c r="A12" s="360"/>
      <c r="B12" s="360"/>
      <c r="C12" s="361"/>
      <c r="D12" s="361"/>
      <c r="E12" s="361"/>
      <c r="F12" s="361"/>
      <c r="G12" s="807" t="s">
        <v>317</v>
      </c>
      <c r="H12" s="768"/>
      <c r="I12" s="768"/>
    </row>
    <row r="13" spans="1:10" s="474" customFormat="1" ht="16.5">
      <c r="A13" s="809" t="s">
        <v>415</v>
      </c>
      <c r="B13" s="809"/>
      <c r="C13" s="458">
        <f>SUM(C14:C17)</f>
        <v>28610974</v>
      </c>
      <c r="D13" s="458">
        <f t="shared" ref="D13:E13" si="0">SUM(D14:D17)</f>
        <v>4508736</v>
      </c>
      <c r="E13" s="458">
        <f t="shared" si="0"/>
        <v>33119710</v>
      </c>
      <c r="F13" s="362"/>
      <c r="G13" s="805" t="s">
        <v>416</v>
      </c>
      <c r="H13" s="808"/>
      <c r="I13" s="806"/>
      <c r="J13" s="474">
        <f>D13</f>
        <v>4508736</v>
      </c>
    </row>
    <row r="14" spans="1:10" s="474" customFormat="1" ht="16.5">
      <c r="A14" s="349"/>
      <c r="B14" s="472" t="s">
        <v>417</v>
      </c>
      <c r="C14" s="451">
        <v>5923</v>
      </c>
      <c r="D14" s="451"/>
      <c r="E14" s="459">
        <f>C14+D14</f>
        <v>5923</v>
      </c>
      <c r="F14" s="362"/>
      <c r="G14" s="350"/>
      <c r="H14" s="808" t="s">
        <v>417</v>
      </c>
      <c r="I14" s="806"/>
      <c r="J14" s="474">
        <f t="shared" ref="J14:J31" si="1">D14</f>
        <v>0</v>
      </c>
    </row>
    <row r="15" spans="1:10" s="474" customFormat="1" ht="16.5">
      <c r="A15" s="349"/>
      <c r="B15" s="472" t="s">
        <v>418</v>
      </c>
      <c r="C15" s="451">
        <v>1191</v>
      </c>
      <c r="D15" s="451">
        <v>4508736</v>
      </c>
      <c r="E15" s="459">
        <f t="shared" ref="E15:E16" si="2">C15+D15</f>
        <v>4509927</v>
      </c>
      <c r="F15" s="362"/>
      <c r="G15" s="350"/>
      <c r="H15" s="808" t="s">
        <v>419</v>
      </c>
      <c r="I15" s="806"/>
      <c r="J15" s="474">
        <f t="shared" si="1"/>
        <v>4508736</v>
      </c>
    </row>
    <row r="16" spans="1:10" s="474" customFormat="1" ht="16.5">
      <c r="A16" s="349"/>
      <c r="B16" s="472" t="s">
        <v>420</v>
      </c>
      <c r="C16" s="451">
        <v>28603013</v>
      </c>
      <c r="D16" s="451"/>
      <c r="E16" s="459">
        <f t="shared" si="2"/>
        <v>28603013</v>
      </c>
      <c r="F16" s="362"/>
      <c r="G16" s="350"/>
      <c r="H16" s="808" t="s">
        <v>20</v>
      </c>
      <c r="I16" s="806"/>
      <c r="J16" s="474">
        <f t="shared" si="1"/>
        <v>0</v>
      </c>
    </row>
    <row r="17" spans="1:10" s="475" customFormat="1" ht="16.5">
      <c r="A17" s="349"/>
      <c r="B17" s="472" t="s">
        <v>421</v>
      </c>
      <c r="C17" s="451">
        <v>847</v>
      </c>
      <c r="D17" s="451"/>
      <c r="E17" s="459">
        <f>C17+D17</f>
        <v>847</v>
      </c>
      <c r="F17" s="362"/>
      <c r="G17" s="350"/>
      <c r="H17" s="808" t="s">
        <v>422</v>
      </c>
      <c r="I17" s="806"/>
      <c r="J17" s="474">
        <f t="shared" si="1"/>
        <v>0</v>
      </c>
    </row>
    <row r="18" spans="1:10" s="475" customFormat="1" ht="16.5">
      <c r="A18" s="805" t="s">
        <v>423</v>
      </c>
      <c r="B18" s="806"/>
      <c r="C18" s="460">
        <f>SUM(C19:C27)</f>
        <v>26785086</v>
      </c>
      <c r="D18" s="460">
        <f t="shared" ref="D18:E18" si="3">SUM(D19:D27)</f>
        <v>2158220</v>
      </c>
      <c r="E18" s="460">
        <f t="shared" si="3"/>
        <v>28943306</v>
      </c>
      <c r="F18" s="363"/>
      <c r="G18" s="805" t="s">
        <v>424</v>
      </c>
      <c r="H18" s="808"/>
      <c r="I18" s="806"/>
      <c r="J18" s="474">
        <f t="shared" si="1"/>
        <v>2158220</v>
      </c>
    </row>
    <row r="19" spans="1:10" s="475" customFormat="1" ht="16.5">
      <c r="A19" s="349"/>
      <c r="B19" s="472" t="s">
        <v>425</v>
      </c>
      <c r="C19" s="451">
        <v>25724025</v>
      </c>
      <c r="D19" s="451"/>
      <c r="E19" s="459">
        <f>C19+D19</f>
        <v>25724025</v>
      </c>
      <c r="F19" s="362"/>
      <c r="G19" s="350"/>
      <c r="H19" s="808" t="s">
        <v>426</v>
      </c>
      <c r="I19" s="806"/>
      <c r="J19" s="474">
        <f t="shared" si="1"/>
        <v>0</v>
      </c>
    </row>
    <row r="20" spans="1:10" s="475" customFormat="1" ht="16.5">
      <c r="A20" s="349"/>
      <c r="B20" s="472" t="s">
        <v>427</v>
      </c>
      <c r="C20" s="451">
        <v>634451</v>
      </c>
      <c r="D20" s="451">
        <v>426290</v>
      </c>
      <c r="E20" s="459">
        <f>C20+D20</f>
        <v>1060741</v>
      </c>
      <c r="F20" s="362"/>
      <c r="G20" s="350"/>
      <c r="H20" s="471" t="s">
        <v>428</v>
      </c>
      <c r="I20" s="472"/>
      <c r="J20" s="474"/>
    </row>
    <row r="21" spans="1:10" s="475" customFormat="1" ht="16.5">
      <c r="A21" s="349"/>
      <c r="B21" s="472" t="s">
        <v>429</v>
      </c>
      <c r="C21" s="451">
        <v>42184</v>
      </c>
      <c r="D21" s="451">
        <v>-42184</v>
      </c>
      <c r="E21" s="459">
        <f t="shared" ref="E21:E31" si="4">C21+D21</f>
        <v>0</v>
      </c>
      <c r="F21" s="362"/>
      <c r="G21" s="350"/>
      <c r="H21" s="471"/>
      <c r="I21" s="472"/>
      <c r="J21" s="474"/>
    </row>
    <row r="22" spans="1:10" s="475" customFormat="1" ht="16.5">
      <c r="A22" s="349"/>
      <c r="B22" s="472" t="s">
        <v>430</v>
      </c>
      <c r="C22" s="451">
        <v>373666</v>
      </c>
      <c r="D22" s="451">
        <v>-373666</v>
      </c>
      <c r="E22" s="459">
        <f t="shared" si="4"/>
        <v>0</v>
      </c>
      <c r="F22" s="362"/>
      <c r="G22" s="350"/>
      <c r="H22" s="471"/>
      <c r="I22" s="472"/>
      <c r="J22" s="474"/>
    </row>
    <row r="23" spans="1:10" s="475" customFormat="1" ht="16.5" hidden="1">
      <c r="A23" s="349"/>
      <c r="B23" s="472" t="s">
        <v>431</v>
      </c>
      <c r="C23" s="451"/>
      <c r="D23" s="451"/>
      <c r="E23" s="459">
        <f t="shared" si="4"/>
        <v>0</v>
      </c>
      <c r="F23" s="362"/>
      <c r="G23" s="350"/>
      <c r="H23" s="471"/>
      <c r="I23" s="472"/>
      <c r="J23" s="474"/>
    </row>
    <row r="24" spans="1:10" s="475" customFormat="1" ht="33">
      <c r="A24" s="349"/>
      <c r="B24" s="472" t="s">
        <v>432</v>
      </c>
      <c r="C24" s="451">
        <v>10440</v>
      </c>
      <c r="D24" s="451">
        <v>-10440</v>
      </c>
      <c r="E24" s="459">
        <f t="shared" si="4"/>
        <v>0</v>
      </c>
      <c r="F24" s="362"/>
      <c r="G24" s="350"/>
      <c r="H24" s="471"/>
      <c r="I24" s="472"/>
      <c r="J24" s="474"/>
    </row>
    <row r="25" spans="1:10" s="475" customFormat="1" ht="16.5">
      <c r="A25" s="349"/>
      <c r="B25" s="472"/>
      <c r="C25" s="451"/>
      <c r="D25" s="451">
        <v>649</v>
      </c>
      <c r="E25" s="459">
        <f t="shared" si="4"/>
        <v>649</v>
      </c>
      <c r="F25" s="362"/>
      <c r="G25" s="350"/>
      <c r="H25" s="471" t="s">
        <v>433</v>
      </c>
      <c r="I25" s="472"/>
      <c r="J25" s="474"/>
    </row>
    <row r="26" spans="1:10" s="475" customFormat="1" ht="16.5">
      <c r="A26" s="349"/>
      <c r="B26" s="365"/>
      <c r="C26" s="451"/>
      <c r="D26" s="451">
        <v>2157571</v>
      </c>
      <c r="E26" s="459">
        <f t="shared" si="4"/>
        <v>2157571</v>
      </c>
      <c r="F26" s="362"/>
      <c r="G26" s="350"/>
      <c r="H26" s="808" t="s">
        <v>434</v>
      </c>
      <c r="I26" s="806"/>
      <c r="J26" s="474">
        <f t="shared" si="1"/>
        <v>2157571</v>
      </c>
    </row>
    <row r="27" spans="1:10" s="475" customFormat="1" ht="16.5">
      <c r="A27" s="349"/>
      <c r="B27" s="365" t="s">
        <v>435</v>
      </c>
      <c r="C27" s="451">
        <v>320</v>
      </c>
      <c r="D27" s="451"/>
      <c r="E27" s="459">
        <f t="shared" si="4"/>
        <v>320</v>
      </c>
      <c r="F27" s="362"/>
      <c r="G27" s="350"/>
      <c r="H27" s="471" t="s">
        <v>436</v>
      </c>
      <c r="I27" s="472"/>
      <c r="J27" s="474"/>
    </row>
    <row r="28" spans="1:10" s="475" customFormat="1" ht="16.5">
      <c r="A28" s="804" t="s">
        <v>333</v>
      </c>
      <c r="B28" s="804"/>
      <c r="C28" s="458">
        <f>C13-C18</f>
        <v>1825888</v>
      </c>
      <c r="D28" s="458">
        <f t="shared" ref="D28:E28" si="5">D13-D18</f>
        <v>2350516</v>
      </c>
      <c r="E28" s="458">
        <f t="shared" si="5"/>
        <v>4176404</v>
      </c>
      <c r="F28" s="362"/>
      <c r="G28" s="810" t="s">
        <v>333</v>
      </c>
      <c r="H28" s="811"/>
      <c r="I28" s="812"/>
      <c r="J28" s="474">
        <f t="shared" si="1"/>
        <v>2350516</v>
      </c>
    </row>
    <row r="29" spans="1:10" s="475" customFormat="1" ht="16.5">
      <c r="A29" s="804" t="s">
        <v>24</v>
      </c>
      <c r="B29" s="804"/>
      <c r="C29" s="567">
        <f>[5]對照表!C31</f>
        <v>1741563</v>
      </c>
      <c r="D29" s="567">
        <f>[5]對照表!D31</f>
        <v>41038269</v>
      </c>
      <c r="E29" s="460">
        <f t="shared" si="4"/>
        <v>42779832</v>
      </c>
      <c r="F29" s="363"/>
      <c r="G29" s="810" t="s">
        <v>331</v>
      </c>
      <c r="H29" s="811"/>
      <c r="I29" s="812"/>
      <c r="J29" s="474">
        <f t="shared" si="1"/>
        <v>41038269</v>
      </c>
    </row>
    <row r="30" spans="1:10" s="475" customFormat="1" ht="16.5">
      <c r="A30" s="804" t="s">
        <v>332</v>
      </c>
      <c r="B30" s="804"/>
      <c r="C30" s="457"/>
      <c r="D30" s="457"/>
      <c r="E30" s="458">
        <f t="shared" si="4"/>
        <v>0</v>
      </c>
      <c r="F30" s="362"/>
      <c r="G30" s="810" t="s">
        <v>332</v>
      </c>
      <c r="H30" s="811"/>
      <c r="I30" s="812"/>
      <c r="J30" s="474">
        <f t="shared" si="1"/>
        <v>0</v>
      </c>
    </row>
    <row r="31" spans="1:10" s="475" customFormat="1" ht="16.5">
      <c r="A31" s="813" t="s">
        <v>26</v>
      </c>
      <c r="B31" s="813"/>
      <c r="C31" s="461">
        <f>C28+C29-C30</f>
        <v>3567451</v>
      </c>
      <c r="D31" s="461">
        <f t="shared" ref="D31" si="6">D28+D29-D30</f>
        <v>43388785</v>
      </c>
      <c r="E31" s="461">
        <f t="shared" si="4"/>
        <v>46956236</v>
      </c>
      <c r="F31" s="364"/>
      <c r="G31" s="814" t="s">
        <v>334</v>
      </c>
      <c r="H31" s="815"/>
      <c r="I31" s="816"/>
      <c r="J31" s="474">
        <f t="shared" si="1"/>
        <v>43388785</v>
      </c>
    </row>
    <row r="32" spans="1:10" s="474" customFormat="1" ht="12.75" hidden="1" customHeight="1">
      <c r="A32" s="475"/>
      <c r="B32" s="475"/>
      <c r="C32" s="475"/>
      <c r="D32" s="475"/>
      <c r="E32" s="475"/>
      <c r="F32" s="475"/>
      <c r="G32" s="475"/>
      <c r="H32" s="475"/>
    </row>
    <row r="33" spans="1:1" s="475" customFormat="1" ht="19.5" customHeight="1">
      <c r="A33" s="356" t="s">
        <v>437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16" sqref="A16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18" t="str">
        <f>封面!$A$4</f>
        <v>彰化縣地方教育發展基金－彰化縣秀水鄉馬興國民小學</v>
      </c>
      <c r="B1" s="819"/>
      <c r="C1" s="819"/>
    </row>
    <row r="2" spans="1:5" ht="25.5" customHeight="1">
      <c r="A2" s="820" t="s">
        <v>70</v>
      </c>
      <c r="B2" s="820"/>
      <c r="C2" s="820"/>
    </row>
    <row r="3" spans="1:5" ht="24" customHeight="1">
      <c r="A3" s="821" t="str">
        <f>封面!$E$10&amp;封面!$H$10&amp;封面!$I$10&amp;封面!$J$10&amp;封面!$K$10&amp;封面!$O$10&amp;"日"</f>
        <v>中華民國112年8月31日</v>
      </c>
      <c r="B3" s="821"/>
      <c r="C3" s="821"/>
    </row>
    <row r="4" spans="1:5" s="25" customFormat="1" ht="23.25" customHeight="1">
      <c r="A4" s="822"/>
      <c r="B4" s="822" t="s">
        <v>71</v>
      </c>
      <c r="C4" s="822"/>
    </row>
    <row r="5" spans="1:5" s="25" customFormat="1" ht="23.25" customHeight="1">
      <c r="A5" s="822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3527451</v>
      </c>
    </row>
    <row r="7" spans="1:5" ht="24" customHeight="1">
      <c r="A7" s="222" t="s">
        <v>196</v>
      </c>
      <c r="B7" s="110">
        <f>VLOOKUP("銀行存款-縣庫存款",平衡!$E$13:$H$41,4,0)</f>
        <v>3527451</v>
      </c>
      <c r="C7" s="112"/>
    </row>
    <row r="8" spans="1:5" ht="24" customHeight="1">
      <c r="A8" s="103" t="s">
        <v>152</v>
      </c>
      <c r="B8" s="110"/>
      <c r="C8" s="381">
        <f>SUM(B9:B14)</f>
        <v>2437640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597" t="s">
        <v>691</v>
      </c>
      <c r="B11" s="110">
        <v>2437640</v>
      </c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67"/>
      <c r="D13" s="368"/>
      <c r="E13" s="368"/>
    </row>
    <row r="14" spans="1:5" ht="24" customHeight="1">
      <c r="A14" s="223"/>
      <c r="B14" s="110"/>
      <c r="C14" s="367"/>
      <c r="D14" s="368"/>
      <c r="E14" s="368"/>
    </row>
    <row r="15" spans="1:5" ht="24" customHeight="1">
      <c r="A15" s="27" t="s">
        <v>77</v>
      </c>
      <c r="B15" s="110"/>
      <c r="C15" s="381">
        <f>SUM(B16:B17)</f>
        <v>2351000</v>
      </c>
      <c r="D15" s="368"/>
      <c r="E15" s="368"/>
    </row>
    <row r="16" spans="1:5" ht="24" customHeight="1">
      <c r="A16" s="598" t="str">
        <f>IF(B16&gt;0,封面!J10+1&amp;"月公庫撥款收入","")</f>
        <v>9月公庫撥款收入</v>
      </c>
      <c r="B16" s="110">
        <f>縣庫對帳!G16</f>
        <v>2351000</v>
      </c>
      <c r="C16" s="367"/>
      <c r="D16" s="368"/>
      <c r="E16" s="368"/>
    </row>
    <row r="17" spans="1:5" ht="24" customHeight="1">
      <c r="A17" s="222"/>
      <c r="B17" s="110"/>
      <c r="C17" s="367"/>
      <c r="D17" s="368"/>
      <c r="E17" s="368"/>
    </row>
    <row r="18" spans="1:5" ht="24" customHeight="1">
      <c r="A18" s="27" t="s">
        <v>78</v>
      </c>
      <c r="B18" s="110"/>
      <c r="C18" s="381">
        <f>SUM(B19:B20)</f>
        <v>0</v>
      </c>
      <c r="D18" s="368"/>
      <c r="E18" s="368"/>
    </row>
    <row r="19" spans="1:5" ht="24" customHeight="1">
      <c r="A19" s="223"/>
      <c r="B19" s="110"/>
      <c r="C19" s="367"/>
      <c r="D19" s="368"/>
      <c r="E19" s="368"/>
    </row>
    <row r="20" spans="1:5" ht="24" customHeight="1">
      <c r="A20" s="222"/>
      <c r="B20" s="110"/>
      <c r="C20" s="367"/>
      <c r="D20" s="368"/>
      <c r="E20" s="368"/>
    </row>
    <row r="21" spans="1:5" ht="24" customHeight="1">
      <c r="A21" s="27" t="s">
        <v>79</v>
      </c>
      <c r="B21" s="110"/>
      <c r="C21" s="381">
        <f>SUM(B22:B23)</f>
        <v>0</v>
      </c>
      <c r="D21" s="368"/>
      <c r="E21" s="368"/>
    </row>
    <row r="22" spans="1:5" ht="24" customHeight="1">
      <c r="A22" s="222"/>
      <c r="B22" s="110"/>
      <c r="C22" s="367"/>
      <c r="D22" s="368"/>
      <c r="E22" s="368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8316091</v>
      </c>
      <c r="D24" s="23">
        <f>VLOOKUP(1,縣庫對帳!$A$4:$L$100,12)</f>
        <v>8316091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17"/>
      <c r="B27" s="817"/>
      <c r="C27" s="81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T25" sqref="T25"/>
      <selection pane="topRight" activeCell="T25" sqref="T25"/>
      <selection pane="bottomLeft" activeCell="T25" sqref="T25"/>
      <selection pane="bottomRight" activeCell="E17" sqref="E17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13.140625" style="53" customWidth="1"/>
    <col min="6" max="6" width="8.140625" style="53" customWidth="1"/>
    <col min="7" max="7" width="9.7109375" style="30" bestFit="1" customWidth="1"/>
    <col min="8" max="8" width="10.85546875" style="30" customWidth="1"/>
    <col min="9" max="9" width="9.7109375" style="30" bestFit="1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1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23" t="s">
        <v>80</v>
      </c>
      <c r="C1" s="823"/>
      <c r="D1" s="823"/>
      <c r="E1" s="823"/>
      <c r="F1" s="823"/>
      <c r="G1" s="823"/>
      <c r="H1" s="823"/>
      <c r="I1" s="823"/>
      <c r="J1" s="823"/>
      <c r="K1" s="823"/>
      <c r="L1" s="823"/>
      <c r="M1" s="150"/>
      <c r="N1" s="58"/>
      <c r="O1" s="58"/>
      <c r="P1" s="58"/>
      <c r="Q1" s="557"/>
      <c r="R1" s="54"/>
      <c r="S1" s="54"/>
      <c r="T1" s="54"/>
      <c r="U1" s="54"/>
      <c r="V1" s="55"/>
    </row>
    <row r="2" spans="1:22" s="56" customFormat="1" ht="33">
      <c r="A2" s="162"/>
      <c r="B2" s="824" t="str">
        <f>封面!$E$10&amp;封面!$H$10&amp;封面!$I$10&amp;封面!$J$10&amp;封面!$K$10&amp;封面!L10</f>
        <v>中華民國112年8月份</v>
      </c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151"/>
      <c r="N2" s="164" t="s">
        <v>158</v>
      </c>
      <c r="O2" s="164"/>
      <c r="P2" s="164" t="s">
        <v>157</v>
      </c>
      <c r="Q2" s="558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28610974</v>
      </c>
      <c r="O3" s="198"/>
      <c r="P3" s="198">
        <f>VLOOKUP(1,$A$4:$L$98,11,0)-P4+P5-P6+P7-P8-P9</f>
        <v>26785086</v>
      </c>
      <c r="Q3" s="69"/>
    </row>
    <row r="4" spans="1:22" s="53" customFormat="1">
      <c r="A4" s="67"/>
      <c r="B4" s="188" t="s">
        <v>654</v>
      </c>
      <c r="C4" s="189" t="s">
        <v>655</v>
      </c>
      <c r="D4" s="189"/>
      <c r="E4" s="189"/>
      <c r="F4" s="189"/>
      <c r="G4" s="189"/>
      <c r="H4" s="189" t="s">
        <v>656</v>
      </c>
      <c r="I4" s="190"/>
      <c r="J4" s="190">
        <v>30494457</v>
      </c>
      <c r="K4" s="190">
        <v>21802463</v>
      </c>
      <c r="L4" s="190">
        <v>8691994</v>
      </c>
      <c r="M4" s="221" t="s">
        <v>185</v>
      </c>
      <c r="N4" s="199">
        <f>[6]縣庫對帳!$L$4</f>
        <v>1883483</v>
      </c>
      <c r="O4" s="200" t="s">
        <v>186</v>
      </c>
      <c r="P4" s="201">
        <f>VLOOKUP("零用及週轉金",平衡!$D$13:$H$42,5,0)</f>
        <v>40000</v>
      </c>
      <c r="Q4" s="559"/>
    </row>
    <row r="5" spans="1:22" s="53" customFormat="1">
      <c r="A5" s="67"/>
      <c r="B5" s="188" t="s">
        <v>654</v>
      </c>
      <c r="C5" s="189" t="s">
        <v>655</v>
      </c>
      <c r="D5" s="189" t="s">
        <v>657</v>
      </c>
      <c r="E5" s="189">
        <v>58</v>
      </c>
      <c r="F5" s="189">
        <v>800214</v>
      </c>
      <c r="G5" s="189"/>
      <c r="H5" s="189" t="s">
        <v>658</v>
      </c>
      <c r="I5" s="190">
        <v>27000</v>
      </c>
      <c r="J5" s="190">
        <v>30494457</v>
      </c>
      <c r="K5" s="190">
        <v>21829463</v>
      </c>
      <c r="L5" s="190">
        <v>8664994</v>
      </c>
      <c r="M5" s="200" t="s">
        <v>187</v>
      </c>
      <c r="N5" s="201">
        <f>-庫款差額!C15+庫款差額!C18</f>
        <v>-2351000</v>
      </c>
      <c r="O5" s="200" t="s">
        <v>187</v>
      </c>
      <c r="P5" s="201">
        <f>庫款差額!C8-庫款差額!C21</f>
        <v>2437640</v>
      </c>
      <c r="Q5" s="559"/>
    </row>
    <row r="6" spans="1:22" s="53" customFormat="1" ht="22.5">
      <c r="A6" s="67"/>
      <c r="B6" s="188" t="s">
        <v>654</v>
      </c>
      <c r="C6" s="189" t="s">
        <v>655</v>
      </c>
      <c r="D6" s="189" t="s">
        <v>659</v>
      </c>
      <c r="E6" s="188" t="s">
        <v>660</v>
      </c>
      <c r="F6" s="188" t="s">
        <v>661</v>
      </c>
      <c r="G6" s="189"/>
      <c r="H6" s="189" t="s">
        <v>658</v>
      </c>
      <c r="I6" s="190">
        <v>361120</v>
      </c>
      <c r="J6" s="190">
        <v>30494457</v>
      </c>
      <c r="K6" s="190">
        <v>22190583</v>
      </c>
      <c r="L6" s="190">
        <v>8303874</v>
      </c>
      <c r="M6" s="115"/>
      <c r="N6" s="202"/>
      <c r="O6" s="203" t="s">
        <v>192</v>
      </c>
      <c r="P6" s="201">
        <v>141920</v>
      </c>
      <c r="Q6" s="559"/>
    </row>
    <row r="7" spans="1:22" s="53" customFormat="1" ht="22.5">
      <c r="A7" s="67"/>
      <c r="B7" s="188" t="s">
        <v>654</v>
      </c>
      <c r="C7" s="189" t="s">
        <v>655</v>
      </c>
      <c r="D7" s="189" t="s">
        <v>662</v>
      </c>
      <c r="E7" s="188" t="s">
        <v>663</v>
      </c>
      <c r="F7" s="188" t="s">
        <v>664</v>
      </c>
      <c r="G7" s="189"/>
      <c r="H7" s="189" t="s">
        <v>658</v>
      </c>
      <c r="I7" s="190">
        <v>39144</v>
      </c>
      <c r="J7" s="190">
        <v>30494457</v>
      </c>
      <c r="K7" s="190">
        <v>22229727</v>
      </c>
      <c r="L7" s="190">
        <v>8264730</v>
      </c>
      <c r="M7" s="115"/>
      <c r="N7" s="202"/>
      <c r="O7" s="203" t="s">
        <v>193</v>
      </c>
      <c r="P7" s="201">
        <f>IF(Q7=0,0,VLOOKUP("應付費用",平衡!$N$13:$T$41,7,0))</f>
        <v>0</v>
      </c>
      <c r="Q7" s="559"/>
    </row>
    <row r="8" spans="1:22" s="53" customFormat="1">
      <c r="A8" s="67"/>
      <c r="B8" s="188" t="s">
        <v>654</v>
      </c>
      <c r="C8" s="189" t="s">
        <v>655</v>
      </c>
      <c r="D8" s="189" t="s">
        <v>662</v>
      </c>
      <c r="E8" s="188" t="s">
        <v>665</v>
      </c>
      <c r="F8" s="188" t="s">
        <v>666</v>
      </c>
      <c r="G8" s="189"/>
      <c r="H8" s="189" t="s">
        <v>658</v>
      </c>
      <c r="I8" s="190">
        <v>35030</v>
      </c>
      <c r="J8" s="190">
        <v>30494457</v>
      </c>
      <c r="K8" s="190">
        <v>22264757</v>
      </c>
      <c r="L8" s="190">
        <v>8229700</v>
      </c>
      <c r="M8" s="115"/>
      <c r="N8" s="202"/>
      <c r="O8" s="201" t="s">
        <v>188</v>
      </c>
      <c r="P8" s="201"/>
      <c r="Q8" s="559"/>
    </row>
    <row r="9" spans="1:22" s="53" customFormat="1">
      <c r="A9" s="67"/>
      <c r="B9" s="188" t="s">
        <v>654</v>
      </c>
      <c r="C9" s="189" t="s">
        <v>655</v>
      </c>
      <c r="D9" s="189" t="s">
        <v>667</v>
      </c>
      <c r="E9" s="188" t="s">
        <v>668</v>
      </c>
      <c r="F9" s="188" t="s">
        <v>669</v>
      </c>
      <c r="G9" s="189"/>
      <c r="H9" s="189" t="s">
        <v>658</v>
      </c>
      <c r="I9" s="190">
        <v>38905</v>
      </c>
      <c r="J9" s="190">
        <v>30494457</v>
      </c>
      <c r="K9" s="190">
        <v>22303662</v>
      </c>
      <c r="L9" s="190">
        <v>8190795</v>
      </c>
      <c r="M9" s="115"/>
      <c r="N9" s="30"/>
      <c r="O9" s="201" t="s">
        <v>189</v>
      </c>
      <c r="P9" s="201"/>
      <c r="Q9" s="559"/>
    </row>
    <row r="10" spans="1:22" s="53" customFormat="1">
      <c r="A10" s="67"/>
      <c r="B10" s="188" t="s">
        <v>654</v>
      </c>
      <c r="C10" s="189" t="s">
        <v>655</v>
      </c>
      <c r="D10" s="189" t="s">
        <v>670</v>
      </c>
      <c r="E10" s="188" t="s">
        <v>671</v>
      </c>
      <c r="F10" s="188" t="s">
        <v>672</v>
      </c>
      <c r="G10" s="189"/>
      <c r="H10" s="189" t="s">
        <v>673</v>
      </c>
      <c r="I10" s="190">
        <v>47094</v>
      </c>
      <c r="J10" s="190">
        <v>30494457</v>
      </c>
      <c r="K10" s="190">
        <v>22256568</v>
      </c>
      <c r="L10" s="190">
        <v>8237889</v>
      </c>
      <c r="M10" s="115"/>
      <c r="N10" s="30"/>
      <c r="O10" s="30"/>
      <c r="P10" s="30"/>
      <c r="Q10" s="559"/>
    </row>
    <row r="11" spans="1:22" s="53" customFormat="1">
      <c r="A11" s="67"/>
      <c r="B11" s="188" t="s">
        <v>654</v>
      </c>
      <c r="C11" s="189" t="s">
        <v>655</v>
      </c>
      <c r="D11" s="189" t="s">
        <v>670</v>
      </c>
      <c r="E11" s="188" t="s">
        <v>674</v>
      </c>
      <c r="F11" s="188" t="s">
        <v>672</v>
      </c>
      <c r="G11" s="189"/>
      <c r="H11" s="189" t="s">
        <v>673</v>
      </c>
      <c r="I11" s="190">
        <v>3038</v>
      </c>
      <c r="J11" s="190">
        <v>30494457</v>
      </c>
      <c r="K11" s="190">
        <v>22253530</v>
      </c>
      <c r="L11" s="190">
        <v>8240927</v>
      </c>
      <c r="M11" s="115"/>
      <c r="N11" s="30"/>
      <c r="O11" s="30"/>
      <c r="P11" s="30"/>
      <c r="Q11" s="559"/>
    </row>
    <row r="12" spans="1:22" s="53" customFormat="1">
      <c r="A12" s="67"/>
      <c r="B12" s="188" t="s">
        <v>654</v>
      </c>
      <c r="C12" s="189" t="s">
        <v>655</v>
      </c>
      <c r="D12" s="189" t="s">
        <v>675</v>
      </c>
      <c r="E12" s="188" t="s">
        <v>676</v>
      </c>
      <c r="F12" s="188" t="s">
        <v>677</v>
      </c>
      <c r="G12" s="189"/>
      <c r="H12" s="189" t="s">
        <v>658</v>
      </c>
      <c r="I12" s="190">
        <v>16000</v>
      </c>
      <c r="J12" s="190">
        <v>30494457</v>
      </c>
      <c r="K12" s="190">
        <v>22269530</v>
      </c>
      <c r="L12" s="190">
        <v>8224927</v>
      </c>
      <c r="M12" s="115"/>
      <c r="N12" s="30"/>
      <c r="O12" s="30"/>
      <c r="P12" s="30"/>
      <c r="Q12" s="559"/>
    </row>
    <row r="13" spans="1:22" s="53" customFormat="1">
      <c r="A13" s="67"/>
      <c r="B13" s="188" t="s">
        <v>654</v>
      </c>
      <c r="C13" s="366" t="s">
        <v>655</v>
      </c>
      <c r="D13" s="366" t="s">
        <v>675</v>
      </c>
      <c r="E13" s="366">
        <v>64</v>
      </c>
      <c r="F13" s="188" t="s">
        <v>678</v>
      </c>
      <c r="G13" s="189"/>
      <c r="H13" s="189" t="s">
        <v>658</v>
      </c>
      <c r="I13" s="190">
        <v>23100</v>
      </c>
      <c r="J13" s="190">
        <v>30494457</v>
      </c>
      <c r="K13" s="190">
        <v>22292630</v>
      </c>
      <c r="L13" s="190">
        <v>8201827</v>
      </c>
      <c r="M13" s="115"/>
      <c r="N13" s="30"/>
      <c r="O13" s="30"/>
      <c r="P13" s="30"/>
      <c r="Q13" s="559"/>
    </row>
    <row r="14" spans="1:22" s="53" customFormat="1">
      <c r="A14" s="67"/>
      <c r="B14" s="188" t="s">
        <v>654</v>
      </c>
      <c r="C14" s="366" t="s">
        <v>655</v>
      </c>
      <c r="D14" s="366" t="s">
        <v>679</v>
      </c>
      <c r="E14" s="366">
        <v>65</v>
      </c>
      <c r="F14" s="188" t="s">
        <v>680</v>
      </c>
      <c r="G14" s="189"/>
      <c r="H14" s="189" t="s">
        <v>658</v>
      </c>
      <c r="I14" s="190">
        <v>16000</v>
      </c>
      <c r="J14" s="190">
        <v>30494457</v>
      </c>
      <c r="K14" s="190">
        <v>22308630</v>
      </c>
      <c r="L14" s="190">
        <v>8185827</v>
      </c>
      <c r="M14" s="115"/>
      <c r="N14" s="30"/>
      <c r="O14" s="30"/>
      <c r="P14" s="30"/>
      <c r="Q14" s="559"/>
    </row>
    <row r="15" spans="1:22" s="53" customFormat="1">
      <c r="A15" s="67"/>
      <c r="B15" s="188" t="s">
        <v>654</v>
      </c>
      <c r="C15" s="366" t="s">
        <v>655</v>
      </c>
      <c r="D15" s="366" t="s">
        <v>681</v>
      </c>
      <c r="E15" s="366">
        <v>68</v>
      </c>
      <c r="F15" s="188" t="s">
        <v>682</v>
      </c>
      <c r="G15" s="189"/>
      <c r="H15" s="189" t="s">
        <v>658</v>
      </c>
      <c r="I15" s="190">
        <v>11476</v>
      </c>
      <c r="J15" s="190">
        <v>30494457</v>
      </c>
      <c r="K15" s="190">
        <v>22320106</v>
      </c>
      <c r="L15" s="190">
        <v>8174351</v>
      </c>
      <c r="M15" s="115"/>
      <c r="N15" s="30"/>
      <c r="O15" s="30"/>
      <c r="P15" s="30"/>
      <c r="Q15" s="559"/>
    </row>
    <row r="16" spans="1:22" s="53" customFormat="1">
      <c r="A16" s="67"/>
      <c r="B16" s="188" t="s">
        <v>654</v>
      </c>
      <c r="C16" s="366" t="s">
        <v>655</v>
      </c>
      <c r="D16" s="366" t="s">
        <v>683</v>
      </c>
      <c r="E16" s="596" t="s">
        <v>690</v>
      </c>
      <c r="F16" s="188"/>
      <c r="G16" s="189">
        <v>2351000</v>
      </c>
      <c r="H16" s="189" t="s">
        <v>684</v>
      </c>
      <c r="I16" s="190"/>
      <c r="J16" s="190">
        <v>32845457</v>
      </c>
      <c r="K16" s="190">
        <v>22320106</v>
      </c>
      <c r="L16" s="190">
        <v>10525351</v>
      </c>
      <c r="M16" s="115"/>
      <c r="N16" s="30"/>
      <c r="O16" s="30"/>
      <c r="P16" s="30"/>
      <c r="Q16" s="559"/>
    </row>
    <row r="17" spans="1:19" s="53" customFormat="1">
      <c r="A17" s="67"/>
      <c r="B17" s="191" t="s">
        <v>654</v>
      </c>
      <c r="C17" s="379" t="s">
        <v>655</v>
      </c>
      <c r="D17" s="379" t="s">
        <v>685</v>
      </c>
      <c r="E17" s="379">
        <v>66</v>
      </c>
      <c r="F17" s="191" t="s">
        <v>686</v>
      </c>
      <c r="G17" s="192"/>
      <c r="H17" s="192" t="s">
        <v>658</v>
      </c>
      <c r="I17" s="192">
        <v>1780275</v>
      </c>
      <c r="J17" s="192">
        <v>32845457</v>
      </c>
      <c r="K17" s="192">
        <v>24100381</v>
      </c>
      <c r="L17" s="192">
        <v>8745076</v>
      </c>
      <c r="M17" s="115"/>
      <c r="N17" s="30"/>
      <c r="O17" s="30"/>
      <c r="P17" s="30"/>
      <c r="Q17" s="559"/>
    </row>
    <row r="18" spans="1:19" s="53" customFormat="1">
      <c r="A18" s="67"/>
      <c r="B18" s="191" t="s">
        <v>654</v>
      </c>
      <c r="C18" s="379" t="s">
        <v>655</v>
      </c>
      <c r="D18" s="379" t="s">
        <v>685</v>
      </c>
      <c r="E18" s="379">
        <v>67</v>
      </c>
      <c r="F18" s="191" t="s">
        <v>687</v>
      </c>
      <c r="G18" s="192"/>
      <c r="H18" s="192" t="s">
        <v>658</v>
      </c>
      <c r="I18" s="192">
        <v>371257</v>
      </c>
      <c r="J18" s="192">
        <v>32845457</v>
      </c>
      <c r="K18" s="192">
        <v>24471638</v>
      </c>
      <c r="L18" s="192">
        <v>8373819</v>
      </c>
      <c r="M18" s="115"/>
      <c r="N18" s="30"/>
      <c r="O18" s="30"/>
      <c r="P18" s="30"/>
      <c r="Q18" s="559"/>
      <c r="S18" s="66"/>
    </row>
    <row r="19" spans="1:19" s="218" customFormat="1">
      <c r="A19" s="215">
        <v>1</v>
      </c>
      <c r="B19" s="191" t="s">
        <v>654</v>
      </c>
      <c r="C19" s="379" t="s">
        <v>655</v>
      </c>
      <c r="D19" s="379" t="s">
        <v>685</v>
      </c>
      <c r="E19" s="379">
        <v>69</v>
      </c>
      <c r="F19" s="191" t="s">
        <v>688</v>
      </c>
      <c r="G19" s="192"/>
      <c r="H19" s="192" t="s">
        <v>658</v>
      </c>
      <c r="I19" s="192">
        <v>57728</v>
      </c>
      <c r="J19" s="192">
        <v>32845457</v>
      </c>
      <c r="K19" s="192">
        <v>24529366</v>
      </c>
      <c r="L19" s="192">
        <v>8316091</v>
      </c>
      <c r="M19" s="216"/>
      <c r="N19" s="217"/>
      <c r="O19" s="30"/>
      <c r="P19" s="30"/>
      <c r="Q19" s="560"/>
    </row>
    <row r="20" spans="1:19" s="218" customFormat="1" ht="14.25">
      <c r="A20" s="215"/>
      <c r="B20" s="219"/>
      <c r="C20" s="380" t="s">
        <v>689</v>
      </c>
      <c r="D20" s="380"/>
      <c r="E20" s="380"/>
      <c r="F20" s="219"/>
      <c r="G20" s="216">
        <v>2351000</v>
      </c>
      <c r="H20" s="216"/>
      <c r="I20" s="216">
        <v>2726903</v>
      </c>
      <c r="J20" s="216"/>
      <c r="K20" s="216"/>
      <c r="L20" s="216"/>
      <c r="M20" s="216"/>
      <c r="N20" s="217"/>
      <c r="O20" s="217"/>
      <c r="P20" s="217"/>
      <c r="Q20" s="560"/>
    </row>
    <row r="21" spans="1:19" s="218" customFormat="1" ht="14.25">
      <c r="A21" s="215"/>
      <c r="B21" s="219"/>
      <c r="C21" s="380"/>
      <c r="D21" s="380"/>
      <c r="E21" s="380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0"/>
    </row>
    <row r="22" spans="1:19" s="218" customFormat="1" ht="14.25">
      <c r="A22" s="215"/>
      <c r="B22" s="219"/>
      <c r="C22" s="380"/>
      <c r="D22" s="380"/>
      <c r="E22" s="380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0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59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59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59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59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59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59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59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59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59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59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59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59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59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59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59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59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59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59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59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59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59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59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59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59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59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59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59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59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59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59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59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59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59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59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59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59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59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59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59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59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59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59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59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59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59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59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59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59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59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59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59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59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59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59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59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59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59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59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59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59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59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59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59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59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59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59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59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59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59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59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59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59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59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59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59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59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59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59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59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59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59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59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59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59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59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59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59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59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59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59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59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59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59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59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59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59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59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59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59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59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59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59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59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59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59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59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59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59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59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59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59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59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59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59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59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59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59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59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59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59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59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59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59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59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59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59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59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59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59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59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59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59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59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59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59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59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59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59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59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59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59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59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59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59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59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59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59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59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59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59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59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59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59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59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59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59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59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59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59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59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59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59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59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59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59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59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59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59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59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59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59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59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59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59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59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59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59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59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59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59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59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59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59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59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59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59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59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59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59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59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59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59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59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59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59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59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59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59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59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59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59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59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59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59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59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59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59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59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59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59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59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59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59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59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59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59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59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59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59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59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59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59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59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59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59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59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59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59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59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59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59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59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59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59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59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59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59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59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59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59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59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59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59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59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59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59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59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59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59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59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59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59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59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59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59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59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59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59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59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59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59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59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59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59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59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59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59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59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59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59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59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59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59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59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59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59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59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59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59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59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59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59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59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59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59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59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59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59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59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59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59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59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59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59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59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59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59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59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59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59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59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59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59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59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59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59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59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59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59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59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59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59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59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59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59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59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59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59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59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59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59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59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59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59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59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59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59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59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59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59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59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59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59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59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59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59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59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59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59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59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59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59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59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59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59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59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59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59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59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59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59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59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59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59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59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59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59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59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59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59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59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59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59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59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59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59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59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59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59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59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59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59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59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59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59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59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59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59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59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59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59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59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59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59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59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59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59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59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59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59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59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59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59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59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59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59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59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59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59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59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59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59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59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59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59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59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59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59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59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59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59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59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59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59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59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59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59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59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59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59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59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59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59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59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59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59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59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59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59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59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59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59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59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59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59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59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59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59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59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59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59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59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59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59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59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59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59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59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59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59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59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59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59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59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59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59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59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59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59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59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59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59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59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59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59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59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59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59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59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59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59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59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59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59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59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59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59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59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59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59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59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59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59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59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59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59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59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59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59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59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59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59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59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59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59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59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59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59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59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59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59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59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59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59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59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59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59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59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59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59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59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59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59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59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59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59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59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59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59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59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59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59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59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59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59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59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59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59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59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59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59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59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59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59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59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59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59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59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59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59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59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59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59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59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59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59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59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59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59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59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59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59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59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59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59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59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59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59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59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59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59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59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59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59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59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59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59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59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59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59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59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59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59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59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59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59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59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59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59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59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59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59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59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59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59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59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59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59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59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59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59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59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59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59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59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59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59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59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59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59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59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59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59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59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59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59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59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59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59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59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59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59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59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59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59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59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59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59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59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59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59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59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59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59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59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59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59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59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59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59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59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59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59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59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59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59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59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59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59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59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59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59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59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59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59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59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59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59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59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59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59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59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59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59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59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59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59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59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59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59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59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59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59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59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59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59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59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59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59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59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59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59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59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59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59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59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59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59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59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59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59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59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59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59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59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59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59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59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59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59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59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59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59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59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59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59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59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59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59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59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59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59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59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59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59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59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59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59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59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59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59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59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59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59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59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59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59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59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59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59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59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59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59"/>
    </row>
    <row r="746" spans="2:17">
      <c r="M746" s="51"/>
      <c r="N746" s="30"/>
      <c r="O746" s="30"/>
      <c r="P746" s="30"/>
      <c r="Q746" s="559"/>
    </row>
    <row r="747" spans="2:17">
      <c r="N747" s="30"/>
      <c r="O747" s="30"/>
      <c r="P747" s="30"/>
      <c r="Q747" s="559"/>
    </row>
    <row r="748" spans="2:17">
      <c r="N748" s="30"/>
      <c r="O748" s="30"/>
      <c r="P748" s="30"/>
      <c r="Q748" s="559"/>
    </row>
    <row r="749" spans="2:17">
      <c r="N749" s="30"/>
      <c r="O749" s="30"/>
      <c r="P749" s="30"/>
      <c r="Q749" s="559"/>
    </row>
    <row r="750" spans="2:17">
      <c r="N750" s="30"/>
      <c r="O750" s="30"/>
      <c r="P750" s="30"/>
      <c r="Q750" s="559"/>
    </row>
    <row r="751" spans="2:17">
      <c r="N751" s="30"/>
      <c r="O751" s="30"/>
      <c r="P751" s="30"/>
      <c r="Q751" s="559"/>
    </row>
    <row r="752" spans="2:17">
      <c r="N752" s="30"/>
      <c r="O752" s="30"/>
      <c r="P752" s="30"/>
      <c r="Q752" s="559"/>
    </row>
    <row r="753" spans="14:17">
      <c r="N753" s="30"/>
      <c r="O753" s="30"/>
      <c r="P753" s="30"/>
      <c r="Q753" s="559"/>
    </row>
    <row r="754" spans="14:17">
      <c r="N754" s="30"/>
      <c r="O754" s="30"/>
      <c r="P754" s="30"/>
      <c r="Q754" s="559"/>
    </row>
    <row r="755" spans="14:17">
      <c r="N755" s="30"/>
      <c r="O755" s="30"/>
      <c r="P755" s="30"/>
      <c r="Q755" s="559"/>
    </row>
    <row r="756" spans="14:17">
      <c r="N756" s="30"/>
      <c r="O756" s="30"/>
      <c r="P756" s="30"/>
      <c r="Q756" s="559"/>
    </row>
    <row r="757" spans="14:17">
      <c r="N757" s="30"/>
      <c r="O757" s="30"/>
      <c r="P757" s="30"/>
      <c r="Q757" s="559"/>
    </row>
    <row r="758" spans="14:17">
      <c r="N758" s="30"/>
      <c r="O758" s="30"/>
      <c r="P758" s="30"/>
      <c r="Q758" s="559"/>
    </row>
    <row r="759" spans="14:17">
      <c r="N759" s="30"/>
      <c r="O759" s="30"/>
      <c r="P759" s="30"/>
      <c r="Q759" s="559"/>
    </row>
    <row r="760" spans="14:17">
      <c r="N760" s="30"/>
      <c r="O760" s="30"/>
      <c r="P760" s="30"/>
      <c r="Q760" s="559"/>
    </row>
    <row r="761" spans="14:17">
      <c r="N761" s="30"/>
      <c r="O761" s="30"/>
      <c r="P761" s="30"/>
      <c r="Q761" s="559"/>
    </row>
    <row r="762" spans="14:17">
      <c r="N762" s="30"/>
      <c r="O762" s="30"/>
      <c r="P762" s="30"/>
      <c r="Q762" s="559"/>
    </row>
    <row r="763" spans="14:17">
      <c r="N763" s="30"/>
      <c r="O763" s="30"/>
      <c r="P763" s="30"/>
      <c r="Q763" s="559"/>
    </row>
    <row r="764" spans="14:17">
      <c r="N764" s="30"/>
      <c r="O764" s="30"/>
      <c r="P764" s="30"/>
      <c r="Q764" s="559"/>
    </row>
    <row r="765" spans="14:17">
      <c r="N765" s="30"/>
      <c r="O765" s="30"/>
      <c r="P765" s="30"/>
      <c r="Q765" s="559"/>
    </row>
    <row r="766" spans="14:17">
      <c r="N766" s="30"/>
      <c r="O766" s="30"/>
      <c r="P766" s="30"/>
      <c r="Q766" s="559"/>
    </row>
    <row r="767" spans="14:17">
      <c r="N767" s="30"/>
      <c r="O767" s="30"/>
      <c r="P767" s="30"/>
      <c r="Q767" s="559"/>
    </row>
    <row r="768" spans="14:17">
      <c r="N768" s="30"/>
      <c r="O768" s="30"/>
      <c r="P768" s="30"/>
      <c r="Q768" s="559"/>
    </row>
    <row r="769" spans="14:17">
      <c r="N769" s="30"/>
      <c r="O769" s="30"/>
      <c r="P769" s="30"/>
      <c r="Q769" s="559"/>
    </row>
    <row r="770" spans="14:17">
      <c r="N770" s="30"/>
      <c r="O770" s="30"/>
      <c r="P770" s="30"/>
      <c r="Q770" s="559"/>
    </row>
    <row r="771" spans="14:17">
      <c r="N771" s="30"/>
      <c r="O771" s="30"/>
      <c r="P771" s="30"/>
      <c r="Q771" s="559"/>
    </row>
    <row r="772" spans="14:17">
      <c r="N772" s="30"/>
      <c r="O772" s="30"/>
      <c r="P772" s="30"/>
      <c r="Q772" s="559"/>
    </row>
    <row r="773" spans="14:17">
      <c r="N773" s="30"/>
      <c r="O773" s="30"/>
      <c r="P773" s="30"/>
      <c r="Q773" s="559"/>
    </row>
    <row r="774" spans="14:17">
      <c r="N774" s="30"/>
      <c r="O774" s="30"/>
      <c r="P774" s="30"/>
      <c r="Q774" s="559"/>
    </row>
    <row r="775" spans="14:17">
      <c r="N775" s="30"/>
      <c r="O775" s="30"/>
      <c r="P775" s="30"/>
      <c r="Q775" s="559"/>
    </row>
    <row r="776" spans="14:17">
      <c r="N776" s="30"/>
      <c r="O776" s="30"/>
      <c r="P776" s="30"/>
      <c r="Q776" s="559"/>
    </row>
    <row r="777" spans="14:17">
      <c r="N777" s="30"/>
      <c r="O777" s="30"/>
      <c r="P777" s="30"/>
      <c r="Q777" s="559"/>
    </row>
    <row r="778" spans="14:17">
      <c r="N778" s="30"/>
      <c r="O778" s="30"/>
      <c r="P778" s="30"/>
      <c r="Q778" s="559"/>
    </row>
    <row r="779" spans="14:17">
      <c r="N779" s="30"/>
      <c r="O779" s="30"/>
      <c r="P779" s="30"/>
      <c r="Q779" s="559"/>
    </row>
    <row r="780" spans="14:17">
      <c r="N780" s="30"/>
      <c r="O780" s="30"/>
      <c r="P780" s="30"/>
      <c r="Q780" s="559"/>
    </row>
    <row r="781" spans="14:17">
      <c r="N781" s="30"/>
      <c r="O781" s="30"/>
      <c r="P781" s="30"/>
      <c r="Q781" s="559"/>
    </row>
    <row r="782" spans="14:17">
      <c r="N782" s="30"/>
      <c r="O782" s="30"/>
      <c r="P782" s="30"/>
      <c r="Q782" s="559"/>
    </row>
    <row r="783" spans="14:17">
      <c r="N783" s="30"/>
      <c r="O783" s="30"/>
      <c r="P783" s="30"/>
      <c r="Q783" s="559"/>
    </row>
    <row r="784" spans="14:17">
      <c r="N784" s="30"/>
      <c r="O784" s="30"/>
      <c r="P784" s="30"/>
      <c r="Q784" s="559"/>
    </row>
    <row r="785" spans="14:17">
      <c r="N785" s="30"/>
      <c r="O785" s="30"/>
      <c r="P785" s="30"/>
      <c r="Q785" s="559"/>
    </row>
    <row r="786" spans="14:17">
      <c r="N786" s="30"/>
      <c r="O786" s="30"/>
      <c r="P786" s="30"/>
      <c r="Q786" s="559"/>
    </row>
    <row r="787" spans="14:17">
      <c r="N787" s="30"/>
      <c r="O787" s="30"/>
      <c r="P787" s="30"/>
      <c r="Q787" s="559"/>
    </row>
    <row r="788" spans="14:17">
      <c r="N788" s="30"/>
      <c r="O788" s="30"/>
      <c r="P788" s="30"/>
      <c r="Q788" s="559"/>
    </row>
    <row r="789" spans="14:17">
      <c r="N789" s="30"/>
      <c r="O789" s="30"/>
      <c r="P789" s="30"/>
      <c r="Q789" s="559"/>
    </row>
    <row r="790" spans="14:17">
      <c r="N790" s="30"/>
      <c r="O790" s="30"/>
      <c r="P790" s="30"/>
      <c r="Q790" s="559"/>
    </row>
    <row r="791" spans="14:17">
      <c r="N791" s="30"/>
      <c r="O791" s="30"/>
      <c r="P791" s="30"/>
      <c r="Q791" s="559"/>
    </row>
    <row r="792" spans="14:17">
      <c r="N792" s="30"/>
      <c r="O792" s="30"/>
      <c r="P792" s="30"/>
      <c r="Q792" s="559"/>
    </row>
    <row r="793" spans="14:17">
      <c r="N793" s="30"/>
      <c r="O793" s="30"/>
      <c r="P793" s="30"/>
      <c r="Q793" s="559"/>
    </row>
    <row r="794" spans="14:17">
      <c r="N794" s="30"/>
      <c r="O794" s="30"/>
      <c r="P794" s="30"/>
      <c r="Q794" s="559"/>
    </row>
    <row r="795" spans="14:17">
      <c r="N795" s="30"/>
      <c r="O795" s="30"/>
      <c r="P795" s="30"/>
      <c r="Q795" s="559"/>
    </row>
    <row r="796" spans="14:17">
      <c r="N796" s="30"/>
      <c r="O796" s="30"/>
      <c r="P796" s="30"/>
      <c r="Q796" s="559"/>
    </row>
    <row r="797" spans="14:17">
      <c r="N797" s="30"/>
      <c r="O797" s="30"/>
      <c r="P797" s="30"/>
      <c r="Q797" s="559"/>
    </row>
    <row r="798" spans="14:17">
      <c r="N798" s="30"/>
      <c r="O798" s="30"/>
      <c r="P798" s="30"/>
      <c r="Q798" s="559"/>
    </row>
    <row r="799" spans="14:17">
      <c r="N799" s="30"/>
      <c r="O799" s="30"/>
      <c r="P799" s="30"/>
      <c r="Q799" s="559"/>
    </row>
    <row r="800" spans="14:17">
      <c r="N800" s="30"/>
      <c r="O800" s="30"/>
      <c r="P800" s="30"/>
      <c r="Q800" s="559"/>
    </row>
    <row r="801" spans="14:17">
      <c r="N801" s="30"/>
      <c r="O801" s="30"/>
      <c r="P801" s="30"/>
      <c r="Q801" s="559"/>
    </row>
    <row r="802" spans="14:17">
      <c r="N802" s="30"/>
      <c r="O802" s="30"/>
      <c r="P802" s="30"/>
      <c r="Q802" s="559"/>
    </row>
    <row r="803" spans="14:17">
      <c r="N803" s="30"/>
      <c r="O803" s="30"/>
      <c r="P803" s="30"/>
      <c r="Q803" s="559"/>
    </row>
    <row r="804" spans="14:17">
      <c r="N804" s="30"/>
      <c r="O804" s="30"/>
      <c r="P804" s="30"/>
      <c r="Q804" s="559"/>
    </row>
    <row r="805" spans="14:17">
      <c r="N805" s="30"/>
      <c r="O805" s="30"/>
      <c r="P805" s="30"/>
      <c r="Q805" s="559"/>
    </row>
    <row r="806" spans="14:17">
      <c r="N806" s="30"/>
      <c r="O806" s="30"/>
      <c r="P806" s="30"/>
      <c r="Q806" s="559"/>
    </row>
    <row r="807" spans="14:17">
      <c r="N807" s="30"/>
      <c r="O807" s="30"/>
      <c r="P807" s="30"/>
      <c r="Q807" s="559"/>
    </row>
    <row r="808" spans="14:17">
      <c r="N808" s="30"/>
      <c r="O808" s="30"/>
      <c r="P808" s="30"/>
      <c r="Q808" s="559"/>
    </row>
    <row r="809" spans="14:17">
      <c r="N809" s="30"/>
      <c r="O809" s="30"/>
      <c r="P809" s="30"/>
      <c r="Q809" s="559"/>
    </row>
    <row r="810" spans="14:17">
      <c r="N810" s="30"/>
      <c r="O810" s="30"/>
      <c r="P810" s="30"/>
      <c r="Q810" s="559"/>
    </row>
    <row r="811" spans="14:17">
      <c r="N811" s="30"/>
      <c r="O811" s="30"/>
      <c r="P811" s="30"/>
      <c r="Q811" s="559"/>
    </row>
    <row r="812" spans="14:17">
      <c r="N812" s="30"/>
      <c r="O812" s="30"/>
      <c r="P812" s="30"/>
      <c r="Q812" s="559"/>
    </row>
    <row r="813" spans="14:17">
      <c r="N813" s="30"/>
      <c r="O813" s="30"/>
      <c r="P813" s="30"/>
      <c r="Q813" s="559"/>
    </row>
    <row r="814" spans="14:17">
      <c r="N814" s="30"/>
      <c r="O814" s="30"/>
      <c r="P814" s="30"/>
      <c r="Q814" s="559"/>
    </row>
    <row r="815" spans="14:17">
      <c r="N815" s="30"/>
      <c r="O815" s="30"/>
      <c r="P815" s="30"/>
      <c r="Q815" s="559"/>
    </row>
    <row r="816" spans="14:17">
      <c r="N816" s="30"/>
      <c r="O816" s="30"/>
      <c r="P816" s="30"/>
      <c r="Q816" s="559"/>
    </row>
    <row r="817" spans="14:17">
      <c r="N817" s="30"/>
      <c r="O817" s="30"/>
      <c r="P817" s="30"/>
      <c r="Q817" s="559"/>
    </row>
    <row r="818" spans="14:17">
      <c r="N818" s="30"/>
      <c r="O818" s="30"/>
      <c r="P818" s="30"/>
      <c r="Q818" s="559"/>
    </row>
    <row r="819" spans="14:17">
      <c r="N819" s="30"/>
      <c r="O819" s="30"/>
      <c r="P819" s="30"/>
      <c r="Q819" s="559"/>
    </row>
    <row r="820" spans="14:17">
      <c r="N820" s="30"/>
      <c r="O820" s="30"/>
      <c r="P820" s="30"/>
      <c r="Q820" s="559"/>
    </row>
    <row r="821" spans="14:17">
      <c r="N821" s="30"/>
      <c r="O821" s="30"/>
      <c r="P821" s="30"/>
      <c r="Q821" s="559"/>
    </row>
    <row r="822" spans="14:17">
      <c r="N822" s="30"/>
      <c r="O822" s="30"/>
      <c r="P822" s="30"/>
      <c r="Q822" s="559"/>
    </row>
    <row r="823" spans="14:17">
      <c r="N823" s="30"/>
      <c r="O823" s="30"/>
      <c r="P823" s="30"/>
      <c r="Q823" s="559"/>
    </row>
    <row r="824" spans="14:17">
      <c r="N824" s="30"/>
      <c r="O824" s="30"/>
      <c r="P824" s="30"/>
      <c r="Q824" s="559"/>
    </row>
    <row r="825" spans="14:17">
      <c r="N825" s="30"/>
      <c r="O825" s="30"/>
      <c r="P825" s="30"/>
      <c r="Q825" s="559"/>
    </row>
    <row r="826" spans="14:17">
      <c r="N826" s="30"/>
      <c r="O826" s="30"/>
      <c r="P826" s="30"/>
      <c r="Q826" s="559"/>
    </row>
    <row r="827" spans="14:17">
      <c r="N827" s="30"/>
      <c r="O827" s="30"/>
      <c r="P827" s="30"/>
      <c r="Q827" s="559"/>
    </row>
    <row r="828" spans="14:17">
      <c r="N828" s="30"/>
      <c r="O828" s="30"/>
      <c r="P828" s="30"/>
      <c r="Q828" s="559"/>
    </row>
    <row r="829" spans="14:17">
      <c r="N829" s="30"/>
      <c r="O829" s="30"/>
      <c r="P829" s="30"/>
      <c r="Q829" s="559"/>
    </row>
    <row r="830" spans="14:17">
      <c r="N830" s="30"/>
      <c r="O830" s="30"/>
      <c r="P830" s="30"/>
      <c r="Q830" s="559"/>
    </row>
    <row r="831" spans="14:17">
      <c r="N831" s="30"/>
      <c r="O831" s="30"/>
      <c r="P831" s="30"/>
      <c r="Q831" s="559"/>
    </row>
    <row r="832" spans="14:17">
      <c r="N832" s="30"/>
      <c r="O832" s="30"/>
      <c r="P832" s="30"/>
      <c r="Q832" s="559"/>
    </row>
    <row r="833" spans="14:17">
      <c r="N833" s="30"/>
      <c r="O833" s="30"/>
      <c r="P833" s="30"/>
      <c r="Q833" s="559"/>
    </row>
    <row r="834" spans="14:17">
      <c r="N834" s="30"/>
      <c r="O834" s="30"/>
      <c r="P834" s="30"/>
      <c r="Q834" s="559"/>
    </row>
    <row r="835" spans="14:17">
      <c r="N835" s="30"/>
      <c r="O835" s="30"/>
      <c r="P835" s="30"/>
      <c r="Q835" s="559"/>
    </row>
    <row r="836" spans="14:17">
      <c r="N836" s="30"/>
      <c r="O836" s="30"/>
      <c r="P836" s="30"/>
      <c r="Q836" s="559"/>
    </row>
    <row r="837" spans="14:17">
      <c r="N837" s="30"/>
      <c r="O837" s="30"/>
      <c r="P837" s="30"/>
      <c r="Q837" s="559"/>
    </row>
    <row r="838" spans="14:17">
      <c r="N838" s="30"/>
      <c r="O838" s="30"/>
      <c r="P838" s="30"/>
      <c r="Q838" s="559"/>
    </row>
    <row r="839" spans="14:17">
      <c r="N839" s="30"/>
      <c r="O839" s="30"/>
      <c r="P839" s="30"/>
      <c r="Q839" s="559"/>
    </row>
    <row r="840" spans="14:17">
      <c r="N840" s="30"/>
      <c r="O840" s="30"/>
      <c r="P840" s="30"/>
      <c r="Q840" s="559"/>
    </row>
    <row r="841" spans="14:17">
      <c r="N841" s="30"/>
      <c r="O841" s="30"/>
      <c r="P841" s="30"/>
      <c r="Q841" s="559"/>
    </row>
    <row r="842" spans="14:17">
      <c r="N842" s="30"/>
      <c r="O842" s="30"/>
      <c r="P842" s="30"/>
      <c r="Q842" s="559"/>
    </row>
    <row r="843" spans="14:17">
      <c r="N843" s="30"/>
      <c r="O843" s="30"/>
      <c r="P843" s="30"/>
      <c r="Q843" s="559"/>
    </row>
    <row r="844" spans="14:17">
      <c r="N844" s="30"/>
      <c r="O844" s="30"/>
      <c r="P844" s="30"/>
      <c r="Q844" s="559"/>
    </row>
    <row r="845" spans="14:17">
      <c r="N845" s="30"/>
      <c r="O845" s="30"/>
      <c r="P845" s="30"/>
      <c r="Q845" s="559"/>
    </row>
    <row r="846" spans="14:17">
      <c r="N846" s="30"/>
      <c r="O846" s="30"/>
      <c r="P846" s="30"/>
      <c r="Q846" s="559"/>
    </row>
    <row r="847" spans="14:17">
      <c r="N847" s="30"/>
      <c r="O847" s="30"/>
      <c r="P847" s="30"/>
      <c r="Q847" s="559"/>
    </row>
    <row r="848" spans="14:17">
      <c r="N848" s="30"/>
      <c r="O848" s="30"/>
      <c r="P848" s="30"/>
      <c r="Q848" s="559"/>
    </row>
    <row r="849" spans="14:17">
      <c r="N849" s="30"/>
      <c r="O849" s="30"/>
      <c r="P849" s="30"/>
      <c r="Q849" s="559"/>
    </row>
    <row r="850" spans="14:17">
      <c r="N850" s="30"/>
      <c r="O850" s="30"/>
      <c r="P850" s="30"/>
      <c r="Q850" s="559"/>
    </row>
    <row r="851" spans="14:17">
      <c r="N851" s="30"/>
      <c r="O851" s="30"/>
      <c r="P851" s="30"/>
      <c r="Q851" s="559"/>
    </row>
    <row r="852" spans="14:17">
      <c r="N852" s="30"/>
      <c r="O852" s="30"/>
      <c r="P852" s="30"/>
      <c r="Q852" s="559"/>
    </row>
    <row r="853" spans="14:17">
      <c r="N853" s="30"/>
      <c r="O853" s="30"/>
      <c r="P853" s="30"/>
      <c r="Q853" s="559"/>
    </row>
    <row r="854" spans="14:17">
      <c r="N854" s="30"/>
      <c r="O854" s="30"/>
      <c r="P854" s="30"/>
      <c r="Q854" s="559"/>
    </row>
    <row r="855" spans="14:17">
      <c r="N855" s="30"/>
      <c r="O855" s="30"/>
      <c r="P855" s="30"/>
      <c r="Q855" s="559"/>
    </row>
    <row r="856" spans="14:17">
      <c r="N856" s="30"/>
      <c r="O856" s="30"/>
      <c r="P856" s="30"/>
      <c r="Q856" s="559"/>
    </row>
    <row r="857" spans="14:17">
      <c r="N857" s="30"/>
      <c r="O857" s="30"/>
      <c r="P857" s="30"/>
      <c r="Q857" s="559"/>
    </row>
    <row r="858" spans="14:17">
      <c r="N858" s="30"/>
      <c r="O858" s="30"/>
      <c r="P858" s="30"/>
      <c r="Q858" s="559"/>
    </row>
    <row r="859" spans="14:17">
      <c r="N859" s="30"/>
      <c r="O859" s="30"/>
      <c r="P859" s="30"/>
      <c r="Q859" s="559"/>
    </row>
    <row r="860" spans="14:17">
      <c r="N860" s="30"/>
      <c r="O860" s="30"/>
      <c r="P860" s="30"/>
      <c r="Q860" s="559"/>
    </row>
    <row r="861" spans="14:17">
      <c r="N861" s="30"/>
      <c r="O861" s="30"/>
      <c r="P861" s="30"/>
      <c r="Q861" s="559"/>
    </row>
    <row r="862" spans="14:17">
      <c r="N862" s="30"/>
      <c r="O862" s="30"/>
      <c r="P862" s="30"/>
      <c r="Q862" s="559"/>
    </row>
    <row r="863" spans="14:17">
      <c r="N863" s="30"/>
      <c r="O863" s="30"/>
      <c r="P863" s="30"/>
      <c r="Q863" s="559"/>
    </row>
    <row r="864" spans="14:17">
      <c r="N864" s="30"/>
      <c r="O864" s="30"/>
      <c r="P864" s="30"/>
      <c r="Q864" s="559"/>
    </row>
    <row r="865" spans="14:17">
      <c r="N865" s="30"/>
      <c r="O865" s="30"/>
      <c r="P865" s="30"/>
      <c r="Q865" s="559"/>
    </row>
    <row r="866" spans="14:17">
      <c r="N866" s="30"/>
      <c r="O866" s="30"/>
      <c r="P866" s="30"/>
      <c r="Q866" s="559"/>
    </row>
    <row r="867" spans="14:17">
      <c r="N867" s="30"/>
      <c r="O867" s="30"/>
      <c r="P867" s="30"/>
      <c r="Q867" s="559"/>
    </row>
    <row r="868" spans="14:17">
      <c r="N868" s="30"/>
      <c r="O868" s="30"/>
      <c r="P868" s="30"/>
      <c r="Q868" s="559"/>
    </row>
    <row r="869" spans="14:17">
      <c r="N869" s="30"/>
      <c r="O869" s="30"/>
      <c r="P869" s="30"/>
      <c r="Q869" s="559"/>
    </row>
    <row r="870" spans="14:17">
      <c r="N870" s="30"/>
      <c r="O870" s="30"/>
      <c r="P870" s="30"/>
      <c r="Q870" s="559"/>
    </row>
    <row r="871" spans="14:17">
      <c r="N871" s="30"/>
      <c r="O871" s="30"/>
      <c r="P871" s="30"/>
      <c r="Q871" s="559"/>
    </row>
    <row r="872" spans="14:17">
      <c r="N872" s="30"/>
      <c r="O872" s="30"/>
      <c r="P872" s="30"/>
      <c r="Q872" s="559"/>
    </row>
    <row r="873" spans="14:17">
      <c r="N873" s="30"/>
      <c r="O873" s="30"/>
      <c r="P873" s="30"/>
      <c r="Q873" s="559"/>
    </row>
    <row r="874" spans="14:17">
      <c r="N874" s="30"/>
      <c r="O874" s="30"/>
      <c r="P874" s="30"/>
      <c r="Q874" s="559"/>
    </row>
    <row r="875" spans="14:17">
      <c r="N875" s="30"/>
      <c r="O875" s="30"/>
      <c r="P875" s="30"/>
      <c r="Q875" s="559"/>
    </row>
    <row r="876" spans="14:17">
      <c r="N876" s="30"/>
      <c r="O876" s="30"/>
      <c r="P876" s="30"/>
      <c r="Q876" s="559"/>
    </row>
    <row r="877" spans="14:17">
      <c r="N877" s="30"/>
      <c r="O877" s="30"/>
      <c r="P877" s="30"/>
      <c r="Q877" s="559"/>
    </row>
    <row r="878" spans="14:17">
      <c r="N878" s="30"/>
      <c r="O878" s="30"/>
      <c r="P878" s="30"/>
      <c r="Q878" s="559"/>
    </row>
    <row r="879" spans="14:17">
      <c r="N879" s="30"/>
      <c r="O879" s="30"/>
      <c r="P879" s="30"/>
      <c r="Q879" s="559"/>
    </row>
    <row r="880" spans="14:17">
      <c r="N880" s="30"/>
      <c r="O880" s="30"/>
      <c r="P880" s="30"/>
      <c r="Q880" s="559"/>
    </row>
    <row r="881" spans="14:17">
      <c r="N881" s="30"/>
      <c r="O881" s="30"/>
      <c r="P881" s="30"/>
      <c r="Q881" s="559"/>
    </row>
    <row r="882" spans="14:17">
      <c r="N882" s="30"/>
      <c r="O882" s="30"/>
      <c r="P882" s="30"/>
      <c r="Q882" s="559"/>
    </row>
    <row r="883" spans="14:17">
      <c r="N883" s="30"/>
      <c r="O883" s="30"/>
      <c r="P883" s="30"/>
      <c r="Q883" s="559"/>
    </row>
    <row r="884" spans="14:17">
      <c r="N884" s="30"/>
      <c r="O884" s="30"/>
      <c r="P884" s="30"/>
      <c r="Q884" s="559"/>
    </row>
    <row r="885" spans="14:17">
      <c r="N885" s="30"/>
      <c r="O885" s="30"/>
      <c r="P885" s="30"/>
      <c r="Q885" s="559"/>
    </row>
    <row r="886" spans="14:17">
      <c r="N886" s="30"/>
      <c r="O886" s="30"/>
      <c r="P886" s="30"/>
      <c r="Q886" s="559"/>
    </row>
    <row r="887" spans="14:17">
      <c r="N887" s="30"/>
      <c r="O887" s="30"/>
      <c r="P887" s="30"/>
      <c r="Q887" s="559"/>
    </row>
    <row r="888" spans="14:17">
      <c r="N888" s="30"/>
      <c r="O888" s="30"/>
      <c r="P888" s="30"/>
      <c r="Q888" s="559"/>
    </row>
    <row r="889" spans="14:17">
      <c r="N889" s="30"/>
      <c r="O889" s="30"/>
      <c r="P889" s="30"/>
      <c r="Q889" s="559"/>
    </row>
    <row r="890" spans="14:17">
      <c r="N890" s="30"/>
      <c r="O890" s="30"/>
      <c r="P890" s="30"/>
      <c r="Q890" s="559"/>
    </row>
    <row r="891" spans="14:17">
      <c r="N891" s="30"/>
      <c r="O891" s="30"/>
      <c r="P891" s="30"/>
      <c r="Q891" s="559"/>
    </row>
    <row r="892" spans="14:17">
      <c r="N892" s="30"/>
      <c r="O892" s="30"/>
      <c r="P892" s="30"/>
      <c r="Q892" s="559"/>
    </row>
    <row r="893" spans="14:17">
      <c r="N893" s="30"/>
      <c r="O893" s="30"/>
      <c r="P893" s="30"/>
      <c r="Q893" s="559"/>
    </row>
    <row r="894" spans="14:17">
      <c r="N894" s="30"/>
      <c r="O894" s="30"/>
      <c r="P894" s="30"/>
      <c r="Q894" s="559"/>
    </row>
    <row r="895" spans="14:17">
      <c r="N895" s="30"/>
      <c r="O895" s="30"/>
      <c r="P895" s="30"/>
      <c r="Q895" s="559"/>
    </row>
    <row r="896" spans="14:17">
      <c r="N896" s="30"/>
      <c r="O896" s="30"/>
      <c r="P896" s="30"/>
      <c r="Q896" s="559"/>
    </row>
    <row r="897" spans="14:17">
      <c r="N897" s="30"/>
      <c r="O897" s="30"/>
      <c r="P897" s="30"/>
      <c r="Q897" s="559"/>
    </row>
    <row r="898" spans="14:17">
      <c r="N898" s="30"/>
      <c r="O898" s="30"/>
      <c r="P898" s="30"/>
      <c r="Q898" s="559"/>
    </row>
    <row r="899" spans="14:17">
      <c r="N899" s="30"/>
      <c r="O899" s="30"/>
      <c r="P899" s="30"/>
      <c r="Q899" s="559"/>
    </row>
    <row r="900" spans="14:17">
      <c r="N900" s="30"/>
      <c r="O900" s="30"/>
      <c r="P900" s="30"/>
      <c r="Q900" s="559"/>
    </row>
    <row r="901" spans="14:17">
      <c r="N901" s="30"/>
      <c r="O901" s="30"/>
      <c r="P901" s="30"/>
      <c r="Q901" s="559"/>
    </row>
    <row r="902" spans="14:17">
      <c r="N902" s="30"/>
      <c r="O902" s="30"/>
      <c r="P902" s="30"/>
      <c r="Q902" s="559"/>
    </row>
    <row r="903" spans="14:17">
      <c r="N903" s="30"/>
      <c r="O903" s="30"/>
      <c r="P903" s="30"/>
      <c r="Q903" s="559"/>
    </row>
    <row r="904" spans="14:17">
      <c r="N904" s="30"/>
      <c r="O904" s="30"/>
      <c r="P904" s="30"/>
      <c r="Q904" s="559"/>
    </row>
    <row r="905" spans="14:17">
      <c r="N905" s="30"/>
      <c r="O905" s="30"/>
      <c r="P905" s="30"/>
      <c r="Q905" s="559"/>
    </row>
    <row r="906" spans="14:17">
      <c r="N906" s="30"/>
      <c r="O906" s="30"/>
      <c r="P906" s="30"/>
      <c r="Q906" s="559"/>
    </row>
    <row r="907" spans="14:17">
      <c r="N907" s="30"/>
      <c r="O907" s="30"/>
      <c r="P907" s="30"/>
      <c r="Q907" s="559"/>
    </row>
    <row r="908" spans="14:17">
      <c r="N908" s="30"/>
      <c r="O908" s="30"/>
      <c r="P908" s="30"/>
      <c r="Q908" s="559"/>
    </row>
    <row r="909" spans="14:17">
      <c r="N909" s="30"/>
      <c r="O909" s="30"/>
      <c r="P909" s="30"/>
      <c r="Q909" s="559"/>
    </row>
    <row r="910" spans="14:17">
      <c r="N910" s="30"/>
      <c r="O910" s="30"/>
      <c r="P910" s="30"/>
      <c r="Q910" s="559"/>
    </row>
    <row r="911" spans="14:17">
      <c r="N911" s="30"/>
      <c r="O911" s="30"/>
      <c r="P911" s="30"/>
      <c r="Q911" s="559"/>
    </row>
    <row r="912" spans="14:17">
      <c r="N912" s="30"/>
      <c r="O912" s="30"/>
      <c r="P912" s="30"/>
      <c r="Q912" s="559"/>
    </row>
    <row r="913" spans="14:17">
      <c r="N913" s="30"/>
      <c r="O913" s="30"/>
      <c r="P913" s="30"/>
      <c r="Q913" s="559"/>
    </row>
    <row r="914" spans="14:17">
      <c r="N914" s="30"/>
      <c r="O914" s="30"/>
      <c r="P914" s="30"/>
      <c r="Q914" s="559"/>
    </row>
    <row r="915" spans="14:17">
      <c r="N915" s="30"/>
      <c r="O915" s="30"/>
      <c r="P915" s="30"/>
      <c r="Q915" s="559"/>
    </row>
    <row r="916" spans="14:17">
      <c r="N916" s="30"/>
      <c r="O916" s="30"/>
      <c r="P916" s="30"/>
      <c r="Q916" s="559"/>
    </row>
    <row r="917" spans="14:17">
      <c r="N917" s="30"/>
      <c r="O917" s="30"/>
      <c r="P917" s="30"/>
      <c r="Q917" s="559"/>
    </row>
    <row r="918" spans="14:17">
      <c r="N918" s="30"/>
      <c r="O918" s="30"/>
      <c r="P918" s="30"/>
      <c r="Q918" s="559"/>
    </row>
    <row r="919" spans="14:17">
      <c r="N919" s="30"/>
      <c r="O919" s="30"/>
      <c r="P919" s="30"/>
      <c r="Q919" s="559"/>
    </row>
    <row r="920" spans="14:17">
      <c r="N920" s="30"/>
      <c r="O920" s="30"/>
      <c r="P920" s="30"/>
      <c r="Q920" s="559"/>
    </row>
    <row r="921" spans="14:17">
      <c r="N921" s="30"/>
      <c r="O921" s="30"/>
      <c r="P921" s="30"/>
      <c r="Q921" s="559"/>
    </row>
    <row r="922" spans="14:17">
      <c r="N922" s="30"/>
      <c r="O922" s="30"/>
      <c r="P922" s="30"/>
      <c r="Q922" s="559"/>
    </row>
    <row r="923" spans="14:17">
      <c r="N923" s="30"/>
      <c r="O923" s="30"/>
      <c r="P923" s="30"/>
      <c r="Q923" s="559"/>
    </row>
    <row r="924" spans="14:17">
      <c r="N924" s="30"/>
      <c r="O924" s="30"/>
      <c r="P924" s="30"/>
      <c r="Q924" s="559"/>
    </row>
    <row r="925" spans="14:17">
      <c r="N925" s="30"/>
      <c r="O925" s="30"/>
      <c r="P925" s="30"/>
      <c r="Q925" s="559"/>
    </row>
    <row r="926" spans="14:17">
      <c r="N926" s="30"/>
      <c r="O926" s="30"/>
      <c r="P926" s="30"/>
      <c r="Q926" s="559"/>
    </row>
    <row r="927" spans="14:17">
      <c r="N927" s="30"/>
      <c r="O927" s="30"/>
      <c r="P927" s="30"/>
      <c r="Q927" s="559"/>
    </row>
    <row r="928" spans="14:17">
      <c r="N928" s="30"/>
      <c r="O928" s="30"/>
      <c r="P928" s="30"/>
      <c r="Q928" s="559"/>
    </row>
    <row r="929" spans="14:17">
      <c r="N929" s="30"/>
      <c r="O929" s="30"/>
      <c r="P929" s="30"/>
      <c r="Q929" s="559"/>
    </row>
    <row r="930" spans="14:17">
      <c r="N930" s="30"/>
      <c r="O930" s="30"/>
      <c r="P930" s="30"/>
      <c r="Q930" s="559"/>
    </row>
    <row r="931" spans="14:17">
      <c r="N931" s="30"/>
      <c r="O931" s="30"/>
      <c r="P931" s="30"/>
      <c r="Q931" s="559"/>
    </row>
    <row r="932" spans="14:17">
      <c r="N932" s="30"/>
      <c r="O932" s="30"/>
      <c r="P932" s="30"/>
      <c r="Q932" s="559"/>
    </row>
    <row r="933" spans="14:17">
      <c r="N933" s="30"/>
      <c r="O933" s="30"/>
      <c r="P933" s="30"/>
      <c r="Q933" s="559"/>
    </row>
    <row r="934" spans="14:17">
      <c r="N934" s="30"/>
      <c r="O934" s="30"/>
      <c r="P934" s="30"/>
      <c r="Q934" s="559"/>
    </row>
    <row r="935" spans="14:17">
      <c r="N935" s="30"/>
      <c r="O935" s="30"/>
      <c r="P935" s="30"/>
      <c r="Q935" s="559"/>
    </row>
    <row r="936" spans="14:17">
      <c r="N936" s="30"/>
      <c r="O936" s="30"/>
      <c r="P936" s="30"/>
      <c r="Q936" s="559"/>
    </row>
    <row r="937" spans="14:17">
      <c r="N937" s="30"/>
      <c r="O937" s="30"/>
      <c r="P937" s="30"/>
      <c r="Q937" s="559"/>
    </row>
    <row r="938" spans="14:17">
      <c r="N938" s="30"/>
      <c r="O938" s="30"/>
      <c r="P938" s="30"/>
      <c r="Q938" s="559"/>
    </row>
    <row r="939" spans="14:17">
      <c r="N939" s="30"/>
      <c r="O939" s="30"/>
      <c r="P939" s="30"/>
      <c r="Q939" s="559"/>
    </row>
    <row r="940" spans="14:17">
      <c r="N940" s="30"/>
      <c r="O940" s="30"/>
      <c r="P940" s="30"/>
      <c r="Q940" s="559"/>
    </row>
    <row r="941" spans="14:17">
      <c r="N941" s="30"/>
      <c r="O941" s="30"/>
      <c r="P941" s="30"/>
      <c r="Q941" s="559"/>
    </row>
    <row r="942" spans="14:17">
      <c r="N942" s="30"/>
      <c r="O942" s="30"/>
      <c r="P942" s="30"/>
      <c r="Q942" s="559"/>
    </row>
    <row r="943" spans="14:17">
      <c r="N943" s="30"/>
      <c r="O943" s="30"/>
      <c r="P943" s="30"/>
      <c r="Q943" s="559"/>
    </row>
    <row r="944" spans="14:17">
      <c r="N944" s="30"/>
      <c r="O944" s="30"/>
      <c r="P944" s="30"/>
      <c r="Q944" s="559"/>
    </row>
    <row r="945" spans="14:17">
      <c r="N945" s="30"/>
      <c r="O945" s="30"/>
      <c r="P945" s="30"/>
      <c r="Q945" s="559"/>
    </row>
    <row r="946" spans="14:17">
      <c r="N946" s="30"/>
      <c r="O946" s="30"/>
      <c r="P946" s="30"/>
      <c r="Q946" s="559"/>
    </row>
    <row r="947" spans="14:17">
      <c r="N947" s="30"/>
      <c r="O947" s="30"/>
      <c r="P947" s="30"/>
      <c r="Q947" s="559"/>
    </row>
    <row r="948" spans="14:17">
      <c r="N948" s="30"/>
      <c r="O948" s="30"/>
      <c r="P948" s="30"/>
      <c r="Q948" s="559"/>
    </row>
    <row r="949" spans="14:17">
      <c r="N949" s="30"/>
      <c r="O949" s="30"/>
      <c r="P949" s="30"/>
      <c r="Q949" s="559"/>
    </row>
    <row r="950" spans="14:17">
      <c r="N950" s="30"/>
      <c r="O950" s="30"/>
      <c r="P950" s="30"/>
      <c r="Q950" s="559"/>
    </row>
    <row r="951" spans="14:17">
      <c r="N951" s="30"/>
      <c r="O951" s="30"/>
      <c r="P951" s="30"/>
      <c r="Q951" s="559"/>
    </row>
    <row r="952" spans="14:17">
      <c r="N952" s="30"/>
      <c r="O952" s="30"/>
      <c r="P952" s="30"/>
      <c r="Q952" s="559"/>
    </row>
    <row r="953" spans="14:17">
      <c r="N953" s="30"/>
      <c r="O953" s="30"/>
      <c r="P953" s="30"/>
      <c r="Q953" s="559"/>
    </row>
    <row r="954" spans="14:17">
      <c r="N954" s="30"/>
      <c r="O954" s="30"/>
      <c r="P954" s="30"/>
      <c r="Q954" s="559"/>
    </row>
    <row r="955" spans="14:17">
      <c r="N955" s="30"/>
      <c r="O955" s="30"/>
      <c r="P955" s="30"/>
      <c r="Q955" s="559"/>
    </row>
    <row r="956" spans="14:17">
      <c r="N956" s="30"/>
      <c r="O956" s="30"/>
      <c r="P956" s="30"/>
      <c r="Q956" s="559"/>
    </row>
    <row r="957" spans="14:17">
      <c r="N957" s="30"/>
      <c r="O957" s="30"/>
      <c r="P957" s="30"/>
      <c r="Q957" s="559"/>
    </row>
    <row r="958" spans="14:17">
      <c r="N958" s="30"/>
      <c r="O958" s="30"/>
      <c r="P958" s="30"/>
      <c r="Q958" s="559"/>
    </row>
    <row r="959" spans="14:17">
      <c r="N959" s="30"/>
      <c r="O959" s="30"/>
      <c r="P959" s="30"/>
      <c r="Q959" s="559"/>
    </row>
    <row r="960" spans="14:17">
      <c r="N960" s="30"/>
      <c r="O960" s="30"/>
      <c r="P960" s="30"/>
      <c r="Q960" s="559"/>
    </row>
    <row r="961" spans="14:17">
      <c r="N961" s="30"/>
      <c r="O961" s="30"/>
      <c r="P961" s="30"/>
      <c r="Q961" s="559"/>
    </row>
    <row r="962" spans="14:17">
      <c r="N962" s="30"/>
      <c r="O962" s="30"/>
      <c r="P962" s="30"/>
      <c r="Q962" s="559"/>
    </row>
    <row r="963" spans="14:17">
      <c r="N963" s="30"/>
      <c r="O963" s="30"/>
      <c r="P963" s="30"/>
      <c r="Q963" s="559"/>
    </row>
    <row r="964" spans="14:17">
      <c r="N964" s="30"/>
      <c r="O964" s="30"/>
      <c r="P964" s="30"/>
      <c r="Q964" s="559"/>
    </row>
    <row r="965" spans="14:17">
      <c r="N965" s="30"/>
      <c r="O965" s="30"/>
      <c r="P965" s="30"/>
      <c r="Q965" s="559"/>
    </row>
    <row r="966" spans="14:17">
      <c r="N966" s="30"/>
      <c r="O966" s="30"/>
      <c r="P966" s="30"/>
      <c r="Q966" s="559"/>
    </row>
    <row r="967" spans="14:17">
      <c r="N967" s="30"/>
      <c r="O967" s="30"/>
      <c r="P967" s="30"/>
      <c r="Q967" s="559"/>
    </row>
    <row r="968" spans="14:17">
      <c r="N968" s="30"/>
      <c r="O968" s="30"/>
      <c r="P968" s="30"/>
      <c r="Q968" s="559"/>
    </row>
    <row r="969" spans="14:17">
      <c r="N969" s="30"/>
      <c r="O969" s="30"/>
      <c r="P969" s="30"/>
      <c r="Q969" s="559"/>
    </row>
    <row r="970" spans="14:17">
      <c r="N970" s="30"/>
      <c r="O970" s="30"/>
      <c r="P970" s="30"/>
      <c r="Q970" s="559"/>
    </row>
    <row r="971" spans="14:17">
      <c r="N971" s="30"/>
      <c r="O971" s="30"/>
      <c r="P971" s="30"/>
      <c r="Q971" s="559"/>
    </row>
    <row r="972" spans="14:17">
      <c r="N972" s="30"/>
      <c r="O972" s="30"/>
      <c r="P972" s="30"/>
      <c r="Q972" s="559"/>
    </row>
    <row r="973" spans="14:17">
      <c r="N973" s="30"/>
      <c r="O973" s="30"/>
      <c r="P973" s="30"/>
      <c r="Q973" s="559"/>
    </row>
    <row r="974" spans="14:17">
      <c r="N974" s="30"/>
      <c r="O974" s="30"/>
      <c r="P974" s="30"/>
      <c r="Q974" s="559"/>
    </row>
    <row r="975" spans="14:17">
      <c r="N975" s="30"/>
      <c r="O975" s="30"/>
      <c r="P975" s="30"/>
      <c r="Q975" s="559"/>
    </row>
    <row r="976" spans="14:17">
      <c r="N976" s="30"/>
      <c r="O976" s="30"/>
      <c r="P976" s="30"/>
      <c r="Q976" s="559"/>
    </row>
    <row r="977" spans="14:17">
      <c r="N977" s="30"/>
      <c r="O977" s="30"/>
      <c r="P977" s="30"/>
      <c r="Q977" s="559"/>
    </row>
    <row r="978" spans="14:17">
      <c r="N978" s="30"/>
      <c r="O978" s="30"/>
      <c r="P978" s="30"/>
      <c r="Q978" s="559"/>
    </row>
    <row r="979" spans="14:17">
      <c r="N979" s="30"/>
      <c r="O979" s="30"/>
      <c r="P979" s="30"/>
      <c r="Q979" s="559"/>
    </row>
    <row r="980" spans="14:17">
      <c r="N980" s="30"/>
      <c r="O980" s="30"/>
      <c r="P980" s="30"/>
      <c r="Q980" s="559"/>
    </row>
    <row r="981" spans="14:17">
      <c r="N981" s="30"/>
      <c r="O981" s="30"/>
      <c r="P981" s="30"/>
      <c r="Q981" s="559"/>
    </row>
    <row r="982" spans="14:17">
      <c r="N982" s="30"/>
      <c r="O982" s="30"/>
      <c r="P982" s="30"/>
      <c r="Q982" s="559"/>
    </row>
    <row r="983" spans="14:17">
      <c r="N983" s="30"/>
      <c r="O983" s="30"/>
      <c r="P983" s="30"/>
      <c r="Q983" s="559"/>
    </row>
    <row r="984" spans="14:17">
      <c r="N984" s="30"/>
      <c r="O984" s="30"/>
      <c r="P984" s="30"/>
      <c r="Q984" s="559"/>
    </row>
    <row r="985" spans="14:17">
      <c r="N985" s="30"/>
      <c r="O985" s="30"/>
      <c r="P985" s="30"/>
      <c r="Q985" s="559"/>
    </row>
    <row r="986" spans="14:17">
      <c r="N986" s="30"/>
      <c r="O986" s="30"/>
      <c r="P986" s="30"/>
      <c r="Q986" s="559"/>
    </row>
    <row r="987" spans="14:17">
      <c r="N987" s="30"/>
      <c r="O987" s="30"/>
      <c r="P987" s="30"/>
      <c r="Q987" s="559"/>
    </row>
    <row r="988" spans="14:17">
      <c r="N988" s="30"/>
      <c r="O988" s="30"/>
      <c r="P988" s="30"/>
      <c r="Q988" s="559"/>
    </row>
    <row r="989" spans="14:17">
      <c r="N989" s="30"/>
      <c r="O989" s="30"/>
      <c r="P989" s="30"/>
      <c r="Q989" s="559"/>
    </row>
    <row r="990" spans="14:17">
      <c r="N990" s="30"/>
      <c r="O990" s="30"/>
      <c r="P990" s="30"/>
      <c r="Q990" s="559"/>
    </row>
    <row r="991" spans="14:17">
      <c r="N991" s="30"/>
      <c r="O991" s="30"/>
      <c r="P991" s="30"/>
      <c r="Q991" s="559"/>
    </row>
    <row r="992" spans="14:17">
      <c r="N992" s="30"/>
      <c r="O992" s="30"/>
      <c r="P992" s="30"/>
      <c r="Q992" s="559"/>
    </row>
    <row r="993" spans="14:17">
      <c r="N993" s="30"/>
      <c r="O993" s="30"/>
      <c r="P993" s="30"/>
      <c r="Q993" s="559"/>
    </row>
    <row r="994" spans="14:17">
      <c r="N994" s="30"/>
      <c r="O994" s="30"/>
      <c r="P994" s="30"/>
      <c r="Q994" s="559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40" activePane="bottomRight" state="frozen"/>
      <selection pane="topRight" activeCell="C1" sqref="C1"/>
      <selection pane="bottomLeft" activeCell="A7" sqref="A7"/>
      <selection pane="bottomRight" activeCell="G49" sqref="G49"/>
    </sheetView>
  </sheetViews>
  <sheetFormatPr defaultColWidth="9.140625" defaultRowHeight="12.75"/>
  <cols>
    <col min="1" max="1" width="8" style="284" bestFit="1" customWidth="1"/>
    <col min="2" max="2" width="49.7109375" style="284" customWidth="1"/>
    <col min="3" max="3" width="5.5703125" style="316" bestFit="1" customWidth="1"/>
    <col min="4" max="5" width="4.28515625" style="316" bestFit="1" customWidth="1"/>
    <col min="6" max="6" width="13.5703125" style="316" bestFit="1" customWidth="1"/>
    <col min="7" max="7" width="11.42578125" style="285" bestFit="1" customWidth="1"/>
    <col min="8" max="9" width="13.140625" style="285" customWidth="1"/>
    <col min="10" max="10" width="11.28515625" style="285" customWidth="1"/>
    <col min="11" max="11" width="11.28515625" style="285" bestFit="1" customWidth="1"/>
    <col min="12" max="12" width="11.42578125" style="285" bestFit="1" customWidth="1"/>
    <col min="13" max="13" width="10" style="285" customWidth="1"/>
    <col min="14" max="14" width="14" style="284" bestFit="1" customWidth="1"/>
    <col min="15" max="15" width="15" style="284" customWidth="1"/>
    <col min="16" max="16" width="12.42578125" style="284" customWidth="1"/>
    <col min="17" max="16384" width="9.140625" style="284"/>
  </cols>
  <sheetData>
    <row r="1" spans="1:13" ht="21">
      <c r="B1" s="827" t="s">
        <v>292</v>
      </c>
      <c r="C1" s="827"/>
      <c r="D1" s="827"/>
      <c r="E1" s="827"/>
      <c r="F1" s="827"/>
      <c r="G1" s="827"/>
      <c r="H1" s="827"/>
      <c r="I1" s="827"/>
      <c r="J1" s="827"/>
      <c r="K1" s="827"/>
      <c r="L1" s="827"/>
    </row>
    <row r="2" spans="1:13" ht="21">
      <c r="B2" s="827" t="s">
        <v>235</v>
      </c>
      <c r="C2" s="827"/>
      <c r="D2" s="827"/>
      <c r="E2" s="827"/>
      <c r="F2" s="827"/>
      <c r="G2" s="827"/>
      <c r="H2" s="827"/>
      <c r="I2" s="827"/>
      <c r="J2" s="827"/>
      <c r="K2" s="827"/>
      <c r="L2" s="827"/>
    </row>
    <row r="3" spans="1:13" ht="21">
      <c r="B3" s="827" t="str">
        <f>封面!E10&amp;封面!H10&amp;封面!I10&amp;封面!J10&amp;封面!K10&amp;封面!L10</f>
        <v>中華民國112年8月份</v>
      </c>
      <c r="C3" s="827"/>
      <c r="D3" s="827"/>
      <c r="E3" s="827"/>
      <c r="F3" s="827"/>
      <c r="G3" s="827"/>
      <c r="H3" s="827"/>
      <c r="I3" s="827"/>
      <c r="J3" s="827"/>
      <c r="K3" s="827"/>
      <c r="L3" s="827"/>
    </row>
    <row r="4" spans="1:13" ht="21">
      <c r="B4" s="286" t="s">
        <v>307</v>
      </c>
      <c r="C4" s="287"/>
      <c r="D4" s="287"/>
      <c r="E4" s="287"/>
      <c r="F4" s="287"/>
      <c r="G4" s="288"/>
      <c r="H4" s="288"/>
      <c r="I4" s="288"/>
      <c r="J4" s="828"/>
      <c r="K4" s="828"/>
      <c r="L4" s="829"/>
    </row>
    <row r="5" spans="1:13" ht="16.5">
      <c r="A5" s="830" t="s">
        <v>236</v>
      </c>
      <c r="B5" s="831"/>
      <c r="C5" s="834" t="s">
        <v>237</v>
      </c>
      <c r="D5" s="834"/>
      <c r="E5" s="834"/>
      <c r="F5" s="835" t="s">
        <v>238</v>
      </c>
      <c r="G5" s="837" t="s">
        <v>239</v>
      </c>
      <c r="H5" s="838"/>
      <c r="I5" s="838"/>
      <c r="J5" s="838"/>
      <c r="K5" s="838"/>
      <c r="L5" s="839"/>
    </row>
    <row r="6" spans="1:13" ht="39.75" customHeight="1">
      <c r="A6" s="832"/>
      <c r="B6" s="833"/>
      <c r="C6" s="283" t="s">
        <v>240</v>
      </c>
      <c r="D6" s="283" t="s">
        <v>241</v>
      </c>
      <c r="E6" s="283" t="s">
        <v>242</v>
      </c>
      <c r="F6" s="836"/>
      <c r="G6" s="289" t="s">
        <v>285</v>
      </c>
      <c r="H6" s="289" t="s">
        <v>286</v>
      </c>
      <c r="I6" s="289" t="s">
        <v>287</v>
      </c>
      <c r="J6" s="289" t="s">
        <v>289</v>
      </c>
      <c r="K6" s="289" t="s">
        <v>288</v>
      </c>
      <c r="L6" s="289" t="s">
        <v>290</v>
      </c>
    </row>
    <row r="7" spans="1:13" ht="21">
      <c r="A7" s="840" t="s">
        <v>243</v>
      </c>
      <c r="B7" s="841"/>
      <c r="C7" s="283"/>
      <c r="D7" s="283"/>
      <c r="E7" s="283"/>
      <c r="F7" s="290"/>
      <c r="G7" s="842">
        <f>SUM(G8:L9)</f>
        <v>6758042</v>
      </c>
      <c r="H7" s="843"/>
      <c r="I7" s="843"/>
      <c r="J7" s="843"/>
      <c r="K7" s="843"/>
      <c r="L7" s="844"/>
      <c r="M7" s="296">
        <f>SUM(G7:L7)</f>
        <v>6758042</v>
      </c>
    </row>
    <row r="8" spans="1:13" ht="16.5">
      <c r="A8" s="840" t="s">
        <v>244</v>
      </c>
      <c r="B8" s="841"/>
      <c r="C8" s="291"/>
      <c r="D8" s="291"/>
      <c r="E8" s="291"/>
      <c r="F8" s="292"/>
      <c r="G8" s="293">
        <f>'勾稽 (2)'!D25</f>
        <v>3</v>
      </c>
      <c r="H8" s="293">
        <f>'勾稽 (2)'!D26</f>
        <v>3160272</v>
      </c>
      <c r="I8" s="293">
        <f>'勾稽 (2)'!D27</f>
        <v>789491</v>
      </c>
      <c r="J8" s="293">
        <f>'勾稽 (2)'!D28</f>
        <v>908178</v>
      </c>
      <c r="K8" s="293">
        <f>'勾稽 (2)'!D29</f>
        <v>0</v>
      </c>
      <c r="L8" s="293">
        <f>'勾稽 (2)'!D30</f>
        <v>98</v>
      </c>
      <c r="M8" s="296">
        <f>SUM(G8:L8)</f>
        <v>4858042</v>
      </c>
    </row>
    <row r="9" spans="1:13" ht="16.5">
      <c r="A9" s="555"/>
      <c r="B9" s="556" t="s">
        <v>448</v>
      </c>
      <c r="C9" s="291"/>
      <c r="D9" s="291"/>
      <c r="E9" s="291"/>
      <c r="F9" s="292"/>
      <c r="G9" s="293"/>
      <c r="H9" s="293"/>
      <c r="I9" s="293"/>
      <c r="J9" s="293">
        <f>'勾稽 (2)'!E28</f>
        <v>1900000</v>
      </c>
      <c r="K9" s="293"/>
      <c r="L9" s="293"/>
      <c r="M9" s="296">
        <f>SUM(G9:L9)</f>
        <v>1900000</v>
      </c>
    </row>
    <row r="10" spans="1:13" ht="16.5">
      <c r="A10" s="840" t="s">
        <v>245</v>
      </c>
      <c r="B10" s="841"/>
      <c r="C10" s="294"/>
      <c r="D10" s="294"/>
      <c r="E10" s="294"/>
      <c r="F10" s="292"/>
      <c r="G10" s="295">
        <f t="shared" ref="G10:J10" si="0">SUM(G11:G13)</f>
        <v>0</v>
      </c>
      <c r="H10" s="295">
        <f t="shared" si="0"/>
        <v>0</v>
      </c>
      <c r="I10" s="295">
        <f t="shared" si="0"/>
        <v>0</v>
      </c>
      <c r="J10" s="295">
        <f t="shared" si="0"/>
        <v>0</v>
      </c>
      <c r="K10" s="295">
        <f t="shared" ref="K10" si="1">SUM(K11:K13)</f>
        <v>0</v>
      </c>
      <c r="L10" s="295">
        <f>SUM(L11:L13)</f>
        <v>0</v>
      </c>
      <c r="M10" s="296">
        <f>SUM(G10:L10)</f>
        <v>0</v>
      </c>
    </row>
    <row r="11" spans="1:13" ht="16.5">
      <c r="A11" s="322" t="s">
        <v>246</v>
      </c>
      <c r="B11" s="323"/>
      <c r="C11" s="294"/>
      <c r="D11" s="294"/>
      <c r="E11" s="294"/>
      <c r="F11" s="292"/>
      <c r="G11" s="297"/>
      <c r="H11" s="297"/>
      <c r="I11" s="297"/>
      <c r="J11" s="297"/>
      <c r="K11" s="297"/>
      <c r="L11" s="297"/>
      <c r="M11" s="296"/>
    </row>
    <row r="12" spans="1:13" ht="16.5">
      <c r="A12" s="322" t="s">
        <v>247</v>
      </c>
      <c r="B12" s="323"/>
      <c r="C12" s="294"/>
      <c r="D12" s="294"/>
      <c r="E12" s="294"/>
      <c r="F12" s="292"/>
      <c r="G12" s="297"/>
      <c r="H12" s="297"/>
      <c r="I12" s="297"/>
      <c r="J12" s="297"/>
      <c r="K12" s="297"/>
      <c r="L12" s="297"/>
      <c r="M12" s="296"/>
    </row>
    <row r="13" spans="1:13" ht="16.5">
      <c r="A13" s="322" t="s">
        <v>248</v>
      </c>
      <c r="B13" s="323"/>
      <c r="C13" s="294"/>
      <c r="D13" s="294"/>
      <c r="E13" s="294"/>
      <c r="F13" s="292"/>
      <c r="G13" s="297"/>
      <c r="H13" s="297"/>
      <c r="I13" s="297"/>
      <c r="J13" s="297"/>
      <c r="K13" s="297"/>
      <c r="L13" s="297"/>
      <c r="M13" s="296"/>
    </row>
    <row r="14" spans="1:13" ht="16.5">
      <c r="A14" s="825" t="s">
        <v>249</v>
      </c>
      <c r="B14" s="841"/>
      <c r="C14" s="294"/>
      <c r="D14" s="294"/>
      <c r="E14" s="294"/>
      <c r="F14" s="292"/>
      <c r="G14" s="298">
        <f t="shared" ref="G14:J14" si="2">SUM(G15:G34)</f>
        <v>0</v>
      </c>
      <c r="H14" s="298">
        <f t="shared" si="2"/>
        <v>888768</v>
      </c>
      <c r="I14" s="298">
        <f t="shared" si="2"/>
        <v>0</v>
      </c>
      <c r="J14" s="298">
        <f t="shared" si="2"/>
        <v>0</v>
      </c>
      <c r="K14" s="298">
        <f t="shared" ref="K14" si="3">SUM(K15:K34)</f>
        <v>0</v>
      </c>
      <c r="L14" s="298">
        <f>SUM(L15:L34)</f>
        <v>0</v>
      </c>
      <c r="M14" s="296">
        <f>SUM(G14:L14)</f>
        <v>888768</v>
      </c>
    </row>
    <row r="15" spans="1:13" ht="16.5">
      <c r="A15" s="322" t="s">
        <v>246</v>
      </c>
      <c r="B15" s="323"/>
      <c r="C15" s="299"/>
      <c r="D15" s="299"/>
      <c r="E15" s="299"/>
      <c r="F15" s="292"/>
      <c r="G15" s="300"/>
      <c r="H15" s="300">
        <v>9</v>
      </c>
      <c r="I15" s="300"/>
      <c r="J15" s="300"/>
      <c r="K15" s="300"/>
      <c r="L15" s="300"/>
    </row>
    <row r="16" spans="1:13" ht="16.5">
      <c r="A16" s="322" t="s">
        <v>247</v>
      </c>
      <c r="B16" s="323"/>
      <c r="C16" s="299"/>
      <c r="D16" s="299"/>
      <c r="E16" s="299"/>
      <c r="F16" s="301"/>
      <c r="G16" s="300"/>
      <c r="H16" s="300">
        <v>507</v>
      </c>
      <c r="I16" s="300"/>
      <c r="J16" s="300"/>
      <c r="K16" s="300"/>
      <c r="L16" s="300"/>
    </row>
    <row r="17" spans="1:13" ht="16.5">
      <c r="A17" s="322" t="s">
        <v>248</v>
      </c>
      <c r="B17" s="323"/>
      <c r="C17" s="299"/>
      <c r="D17" s="299"/>
      <c r="E17" s="299"/>
      <c r="F17" s="292"/>
      <c r="G17" s="300"/>
      <c r="H17" s="300">
        <v>435</v>
      </c>
      <c r="I17" s="300"/>
      <c r="J17" s="300"/>
      <c r="K17" s="300"/>
      <c r="L17" s="300"/>
    </row>
    <row r="18" spans="1:13" ht="16.5">
      <c r="A18" s="322" t="s">
        <v>250</v>
      </c>
      <c r="B18" s="323"/>
      <c r="C18" s="299"/>
      <c r="D18" s="299"/>
      <c r="E18" s="299"/>
      <c r="F18" s="292"/>
      <c r="G18" s="300"/>
      <c r="H18" s="300">
        <v>282749</v>
      </c>
      <c r="I18" s="300"/>
      <c r="J18" s="300"/>
      <c r="K18" s="300"/>
      <c r="L18" s="300"/>
      <c r="M18" s="284"/>
    </row>
    <row r="19" spans="1:13" ht="16.5">
      <c r="A19" s="322" t="s">
        <v>251</v>
      </c>
      <c r="B19" s="323"/>
      <c r="C19" s="299"/>
      <c r="D19" s="299"/>
      <c r="E19" s="299"/>
      <c r="F19" s="292"/>
      <c r="G19" s="300"/>
      <c r="H19" s="300">
        <v>19793</v>
      </c>
      <c r="I19" s="300"/>
      <c r="J19" s="300"/>
      <c r="K19" s="300"/>
      <c r="L19" s="300"/>
      <c r="M19" s="284"/>
    </row>
    <row r="20" spans="1:13" ht="16.5">
      <c r="A20" s="322" t="s">
        <v>252</v>
      </c>
      <c r="B20" s="323"/>
      <c r="C20" s="299"/>
      <c r="D20" s="299"/>
      <c r="E20" s="299"/>
      <c r="F20" s="292"/>
      <c r="G20" s="300"/>
      <c r="H20" s="300">
        <v>797</v>
      </c>
      <c r="I20" s="300"/>
      <c r="J20" s="300"/>
      <c r="K20" s="300"/>
      <c r="L20" s="300"/>
      <c r="M20" s="284"/>
    </row>
    <row r="21" spans="1:13" ht="16.5">
      <c r="A21" s="322" t="s">
        <v>253</v>
      </c>
      <c r="B21" s="323"/>
      <c r="C21" s="299"/>
      <c r="D21" s="299"/>
      <c r="E21" s="299"/>
      <c r="F21" s="292"/>
      <c r="G21" s="300"/>
      <c r="H21" s="300">
        <v>584478</v>
      </c>
      <c r="I21" s="300"/>
      <c r="J21" s="300"/>
      <c r="K21" s="300"/>
      <c r="L21" s="300"/>
      <c r="M21" s="284"/>
    </row>
    <row r="22" spans="1:13" ht="16.5">
      <c r="A22" s="322" t="s">
        <v>254</v>
      </c>
      <c r="B22" s="323"/>
      <c r="C22" s="299"/>
      <c r="D22" s="299"/>
      <c r="E22" s="299"/>
      <c r="F22" s="292"/>
      <c r="G22" s="300"/>
      <c r="H22" s="300"/>
      <c r="I22" s="300"/>
      <c r="J22" s="300"/>
      <c r="K22" s="300"/>
      <c r="L22" s="300"/>
      <c r="M22" s="284"/>
    </row>
    <row r="23" spans="1:13" ht="16.5">
      <c r="A23" s="322" t="s">
        <v>255</v>
      </c>
      <c r="B23" s="323"/>
      <c r="C23" s="299"/>
      <c r="D23" s="299"/>
      <c r="E23" s="299"/>
      <c r="F23" s="292"/>
      <c r="G23" s="300"/>
      <c r="H23" s="300"/>
      <c r="I23" s="300"/>
      <c r="J23" s="300"/>
      <c r="K23" s="300"/>
      <c r="L23" s="300"/>
      <c r="M23" s="284"/>
    </row>
    <row r="24" spans="1:13" ht="16.5">
      <c r="A24" s="322" t="s">
        <v>256</v>
      </c>
      <c r="B24" s="323"/>
      <c r="C24" s="299"/>
      <c r="D24" s="299"/>
      <c r="E24" s="299"/>
      <c r="F24" s="292"/>
      <c r="G24" s="300"/>
      <c r="H24" s="300"/>
      <c r="I24" s="300"/>
      <c r="J24" s="300"/>
      <c r="K24" s="300"/>
      <c r="L24" s="300"/>
      <c r="M24" s="284"/>
    </row>
    <row r="25" spans="1:13" ht="16.5">
      <c r="A25" s="322" t="s">
        <v>257</v>
      </c>
      <c r="B25" s="323"/>
      <c r="C25" s="299"/>
      <c r="D25" s="299"/>
      <c r="E25" s="299"/>
      <c r="F25" s="292"/>
      <c r="G25" s="300"/>
      <c r="H25" s="300"/>
      <c r="I25" s="300"/>
      <c r="J25" s="300"/>
      <c r="K25" s="300"/>
      <c r="L25" s="300"/>
      <c r="M25" s="284"/>
    </row>
    <row r="26" spans="1:13" ht="16.5">
      <c r="A26" s="322" t="s">
        <v>258</v>
      </c>
      <c r="B26" s="323"/>
      <c r="C26" s="299"/>
      <c r="D26" s="299"/>
      <c r="E26" s="299"/>
      <c r="F26" s="292"/>
      <c r="G26" s="300"/>
      <c r="H26" s="300"/>
      <c r="I26" s="300"/>
      <c r="J26" s="300"/>
      <c r="K26" s="300"/>
      <c r="L26" s="300"/>
      <c r="M26" s="284"/>
    </row>
    <row r="27" spans="1:13" ht="16.5">
      <c r="A27" s="322" t="s">
        <v>259</v>
      </c>
      <c r="B27" s="323"/>
      <c r="C27" s="299"/>
      <c r="D27" s="299"/>
      <c r="E27" s="299"/>
      <c r="F27" s="292"/>
      <c r="G27" s="300"/>
      <c r="H27" s="300"/>
      <c r="I27" s="300"/>
      <c r="J27" s="300"/>
      <c r="K27" s="300"/>
      <c r="L27" s="300"/>
      <c r="M27" s="284"/>
    </row>
    <row r="28" spans="1:13" ht="16.5">
      <c r="A28" s="322" t="s">
        <v>260</v>
      </c>
      <c r="B28" s="323"/>
      <c r="C28" s="299"/>
      <c r="D28" s="299"/>
      <c r="E28" s="299"/>
      <c r="F28" s="292"/>
      <c r="G28" s="300"/>
      <c r="H28" s="300"/>
      <c r="I28" s="300"/>
      <c r="J28" s="300"/>
      <c r="K28" s="300"/>
      <c r="L28" s="300"/>
      <c r="M28" s="284"/>
    </row>
    <row r="29" spans="1:13" ht="16.5">
      <c r="A29" s="322" t="s">
        <v>261</v>
      </c>
      <c r="B29" s="323"/>
      <c r="C29" s="299"/>
      <c r="D29" s="299"/>
      <c r="E29" s="299"/>
      <c r="F29" s="292"/>
      <c r="G29" s="300"/>
      <c r="H29" s="300"/>
      <c r="I29" s="300"/>
      <c r="J29" s="300"/>
      <c r="K29" s="300"/>
      <c r="L29" s="300"/>
      <c r="M29" s="284"/>
    </row>
    <row r="30" spans="1:13" ht="16.5">
      <c r="A30" s="322" t="s">
        <v>262</v>
      </c>
      <c r="B30" s="323"/>
      <c r="C30" s="299"/>
      <c r="D30" s="299"/>
      <c r="E30" s="299"/>
      <c r="F30" s="292"/>
      <c r="G30" s="300"/>
      <c r="H30" s="300"/>
      <c r="I30" s="300"/>
      <c r="J30" s="300"/>
      <c r="K30" s="300"/>
      <c r="L30" s="300"/>
      <c r="M30" s="284"/>
    </row>
    <row r="31" spans="1:13" ht="16.5">
      <c r="A31" s="322" t="s">
        <v>263</v>
      </c>
      <c r="B31" s="323"/>
      <c r="C31" s="299"/>
      <c r="D31" s="299"/>
      <c r="E31" s="299"/>
      <c r="F31" s="292"/>
      <c r="G31" s="300"/>
      <c r="H31" s="300"/>
      <c r="I31" s="300"/>
      <c r="J31" s="300"/>
      <c r="K31" s="300"/>
      <c r="L31" s="300"/>
      <c r="M31" s="284"/>
    </row>
    <row r="32" spans="1:13" ht="16.5">
      <c r="A32" s="322" t="s">
        <v>264</v>
      </c>
      <c r="B32" s="323"/>
      <c r="C32" s="299"/>
      <c r="D32" s="299"/>
      <c r="E32" s="299"/>
      <c r="F32" s="292"/>
      <c r="G32" s="300"/>
      <c r="H32" s="300"/>
      <c r="I32" s="300"/>
      <c r="J32" s="300"/>
      <c r="K32" s="300"/>
      <c r="L32" s="300"/>
      <c r="M32" s="284"/>
    </row>
    <row r="33" spans="1:15" ht="16.5">
      <c r="A33" s="322" t="s">
        <v>265</v>
      </c>
      <c r="B33" s="323"/>
      <c r="C33" s="299"/>
      <c r="D33" s="299"/>
      <c r="E33" s="299"/>
      <c r="F33" s="292"/>
      <c r="G33" s="300"/>
      <c r="H33" s="300"/>
      <c r="I33" s="300"/>
      <c r="J33" s="300"/>
      <c r="K33" s="300"/>
      <c r="L33" s="300"/>
      <c r="M33" s="284"/>
    </row>
    <row r="34" spans="1:15" ht="16.5">
      <c r="A34" s="322" t="s">
        <v>266</v>
      </c>
      <c r="B34" s="323"/>
      <c r="C34" s="299"/>
      <c r="D34" s="299"/>
      <c r="E34" s="299"/>
      <c r="F34" s="292"/>
      <c r="G34" s="300"/>
      <c r="H34" s="300"/>
      <c r="I34" s="300"/>
      <c r="J34" s="300"/>
      <c r="K34" s="300"/>
      <c r="L34" s="300"/>
    </row>
    <row r="35" spans="1:15" ht="16.5">
      <c r="A35" s="825" t="s">
        <v>280</v>
      </c>
      <c r="B35" s="826"/>
      <c r="C35" s="302"/>
      <c r="D35" s="302"/>
      <c r="E35" s="302"/>
      <c r="F35" s="292"/>
      <c r="G35" s="303">
        <f t="shared" ref="G35:J35" si="4">SUM(G36:G38)</f>
        <v>0</v>
      </c>
      <c r="H35" s="303">
        <f t="shared" si="4"/>
        <v>0</v>
      </c>
      <c r="I35" s="303">
        <f t="shared" si="4"/>
        <v>0</v>
      </c>
      <c r="J35" s="303">
        <f t="shared" si="4"/>
        <v>0</v>
      </c>
      <c r="K35" s="303">
        <f t="shared" ref="K35" si="5">SUM(K36:K38)</f>
        <v>0</v>
      </c>
      <c r="L35" s="303">
        <f>SUM(L36:L38)</f>
        <v>0</v>
      </c>
      <c r="M35" s="296">
        <f>SUM(G35:L35)</f>
        <v>0</v>
      </c>
      <c r="N35" s="304"/>
    </row>
    <row r="36" spans="1:15" ht="16.5">
      <c r="A36" s="322" t="s">
        <v>281</v>
      </c>
      <c r="B36" s="323"/>
      <c r="C36" s="305"/>
      <c r="D36" s="305"/>
      <c r="E36" s="305"/>
      <c r="F36" s="306"/>
      <c r="G36" s="300"/>
      <c r="H36" s="300"/>
      <c r="I36" s="300"/>
      <c r="J36" s="300"/>
      <c r="K36" s="300"/>
      <c r="L36" s="300"/>
      <c r="N36" s="307"/>
    </row>
    <row r="37" spans="1:15" ht="16.5">
      <c r="A37" s="322" t="s">
        <v>247</v>
      </c>
      <c r="B37" s="323"/>
      <c r="C37" s="305"/>
      <c r="D37" s="305"/>
      <c r="E37" s="305"/>
      <c r="F37" s="306"/>
      <c r="G37" s="300"/>
      <c r="H37" s="300"/>
      <c r="I37" s="300"/>
      <c r="J37" s="300"/>
      <c r="K37" s="300"/>
      <c r="L37" s="300"/>
      <c r="N37" s="307"/>
    </row>
    <row r="38" spans="1:15" ht="16.5">
      <c r="A38" s="322" t="s">
        <v>248</v>
      </c>
      <c r="B38" s="323"/>
      <c r="C38" s="305"/>
      <c r="D38" s="305"/>
      <c r="E38" s="305"/>
      <c r="F38" s="306"/>
      <c r="G38" s="300"/>
      <c r="H38" s="300"/>
      <c r="I38" s="300"/>
      <c r="J38" s="300"/>
      <c r="K38" s="300"/>
      <c r="L38" s="300"/>
      <c r="N38" s="307"/>
    </row>
    <row r="39" spans="1:15" ht="16.5">
      <c r="A39" s="825" t="s">
        <v>282</v>
      </c>
      <c r="B39" s="826"/>
      <c r="C39" s="302"/>
      <c r="D39" s="302"/>
      <c r="E39" s="302"/>
      <c r="F39" s="292"/>
      <c r="G39" s="303">
        <f t="shared" ref="G39:J39" si="6">SUM(G40:G42)</f>
        <v>0</v>
      </c>
      <c r="H39" s="303">
        <f t="shared" si="6"/>
        <v>0</v>
      </c>
      <c r="I39" s="303">
        <f t="shared" si="6"/>
        <v>0</v>
      </c>
      <c r="J39" s="303">
        <f t="shared" si="6"/>
        <v>0</v>
      </c>
      <c r="K39" s="303">
        <f t="shared" ref="K39" si="7">SUM(K40:K42)</f>
        <v>0</v>
      </c>
      <c r="L39" s="303">
        <f>SUM(L40:L42)</f>
        <v>0</v>
      </c>
      <c r="M39" s="296">
        <f>SUM(G39:L39)</f>
        <v>0</v>
      </c>
      <c r="N39" s="304"/>
    </row>
    <row r="40" spans="1:15" ht="16.5">
      <c r="A40" s="322" t="s">
        <v>281</v>
      </c>
      <c r="B40" s="323"/>
      <c r="C40" s="305"/>
      <c r="D40" s="305"/>
      <c r="E40" s="305"/>
      <c r="F40" s="306"/>
      <c r="G40" s="300"/>
      <c r="H40" s="300"/>
      <c r="I40" s="300"/>
      <c r="J40" s="300"/>
      <c r="K40" s="300"/>
      <c r="L40" s="300"/>
      <c r="N40" s="307"/>
    </row>
    <row r="41" spans="1:15" ht="16.5">
      <c r="A41" s="322" t="s">
        <v>247</v>
      </c>
      <c r="B41" s="323"/>
      <c r="C41" s="305"/>
      <c r="D41" s="305"/>
      <c r="E41" s="305"/>
      <c r="F41" s="306"/>
      <c r="G41" s="300"/>
      <c r="H41" s="300"/>
      <c r="I41" s="300"/>
      <c r="J41" s="300"/>
      <c r="K41" s="300"/>
      <c r="L41" s="300"/>
      <c r="N41" s="307"/>
    </row>
    <row r="42" spans="1:15" ht="16.5">
      <c r="A42" s="322" t="s">
        <v>248</v>
      </c>
      <c r="B42" s="323"/>
      <c r="C42" s="305"/>
      <c r="D42" s="305"/>
      <c r="E42" s="305"/>
      <c r="F42" s="306"/>
      <c r="G42" s="300"/>
      <c r="H42" s="300"/>
      <c r="I42" s="300"/>
      <c r="J42" s="300"/>
      <c r="K42" s="300"/>
      <c r="L42" s="300"/>
      <c r="N42" s="307"/>
    </row>
    <row r="43" spans="1:15" ht="16.5">
      <c r="A43" s="840" t="s">
        <v>283</v>
      </c>
      <c r="B43" s="841"/>
      <c r="C43" s="294"/>
      <c r="D43" s="294"/>
      <c r="E43" s="294"/>
      <c r="F43" s="292"/>
      <c r="G43" s="308">
        <f>G8+G10+G14-G35-G39</f>
        <v>3</v>
      </c>
      <c r="H43" s="308">
        <f t="shared" ref="H43:L43" si="8">H8+H10+H14-H35-H39</f>
        <v>4049040</v>
      </c>
      <c r="I43" s="308">
        <f t="shared" si="8"/>
        <v>789491</v>
      </c>
      <c r="J43" s="308">
        <f t="shared" si="8"/>
        <v>908178</v>
      </c>
      <c r="K43" s="308">
        <f t="shared" ref="K43" si="9">K8+K10+K14-K35-K39</f>
        <v>0</v>
      </c>
      <c r="L43" s="308">
        <f t="shared" si="8"/>
        <v>98</v>
      </c>
      <c r="M43" s="296">
        <f>SUM(G43:L43)</f>
        <v>5746810</v>
      </c>
      <c r="N43" s="309"/>
      <c r="O43" s="310"/>
    </row>
    <row r="44" spans="1:15" ht="16.5">
      <c r="A44" s="555"/>
      <c r="B44" s="556" t="s">
        <v>448</v>
      </c>
      <c r="C44" s="294"/>
      <c r="D44" s="294"/>
      <c r="E44" s="294"/>
      <c r="F44" s="292"/>
      <c r="G44" s="554">
        <f>G9</f>
        <v>0</v>
      </c>
      <c r="H44" s="554">
        <f t="shared" ref="H44:L44" si="10">H9</f>
        <v>0</v>
      </c>
      <c r="I44" s="554">
        <f t="shared" si="10"/>
        <v>0</v>
      </c>
      <c r="J44" s="554">
        <f t="shared" si="10"/>
        <v>1900000</v>
      </c>
      <c r="K44" s="554">
        <f t="shared" ref="K44" si="11">K9</f>
        <v>0</v>
      </c>
      <c r="L44" s="554">
        <f t="shared" si="10"/>
        <v>0</v>
      </c>
      <c r="M44" s="296">
        <f>SUM(G44:L44)</f>
        <v>1900000</v>
      </c>
      <c r="N44" s="309"/>
      <c r="O44" s="310"/>
    </row>
    <row r="45" spans="1:15" ht="21">
      <c r="A45" s="840" t="s">
        <v>284</v>
      </c>
      <c r="B45" s="841"/>
      <c r="C45" s="294"/>
      <c r="D45" s="294"/>
      <c r="E45" s="294"/>
      <c r="F45" s="292"/>
      <c r="G45" s="845">
        <f>SUM(G43:L44)</f>
        <v>7646810</v>
      </c>
      <c r="H45" s="846"/>
      <c r="I45" s="846"/>
      <c r="J45" s="846"/>
      <c r="K45" s="846"/>
      <c r="L45" s="847"/>
      <c r="M45" s="296">
        <f>SUM(G45:L45)</f>
        <v>7646810</v>
      </c>
      <c r="N45" s="309"/>
      <c r="O45" s="310"/>
    </row>
    <row r="46" spans="1:15" ht="16.5">
      <c r="B46" s="311"/>
      <c r="C46" s="287"/>
      <c r="D46" s="287"/>
      <c r="E46" s="287"/>
      <c r="F46" s="287"/>
      <c r="G46" s="288"/>
      <c r="H46" s="288"/>
      <c r="I46" s="288"/>
      <c r="J46" s="288"/>
      <c r="K46" s="288"/>
      <c r="L46" s="288"/>
      <c r="N46" s="312"/>
      <c r="O46" s="313"/>
    </row>
    <row r="47" spans="1:15" ht="16.5">
      <c r="B47" s="311" t="s">
        <v>267</v>
      </c>
      <c r="C47" s="848" t="s">
        <v>268</v>
      </c>
      <c r="D47" s="848"/>
      <c r="E47" s="848"/>
      <c r="F47" s="848"/>
      <c r="G47" s="314"/>
      <c r="H47" s="314" t="s">
        <v>269</v>
      </c>
      <c r="I47" s="314"/>
      <c r="J47" s="314"/>
      <c r="K47" s="314"/>
      <c r="L47" s="288"/>
      <c r="N47" s="315"/>
      <c r="O47" s="313"/>
    </row>
    <row r="48" spans="1:15" s="590" customFormat="1" ht="16.5">
      <c r="B48" s="582"/>
      <c r="C48" s="583"/>
      <c r="D48" s="583"/>
      <c r="E48" s="583"/>
      <c r="F48" s="583" t="s">
        <v>452</v>
      </c>
      <c r="G48" s="584">
        <v>3</v>
      </c>
      <c r="H48" s="584">
        <v>4049040</v>
      </c>
      <c r="I48" s="584">
        <v>789491</v>
      </c>
      <c r="J48" s="584">
        <v>908178</v>
      </c>
      <c r="K48" s="584"/>
      <c r="L48" s="584">
        <v>98</v>
      </c>
      <c r="M48" s="591"/>
      <c r="N48" s="585"/>
      <c r="O48" s="586"/>
    </row>
    <row r="49" spans="3:16" s="590" customFormat="1" ht="16.5">
      <c r="C49" s="592"/>
      <c r="D49" s="592"/>
      <c r="E49" s="592"/>
      <c r="F49" s="592"/>
      <c r="G49" s="587">
        <f>G43-G48</f>
        <v>0</v>
      </c>
      <c r="H49" s="587">
        <f t="shared" ref="H49:L49" si="12">H43-H48</f>
        <v>0</v>
      </c>
      <c r="I49" s="587">
        <f t="shared" si="12"/>
        <v>0</v>
      </c>
      <c r="J49" s="587">
        <f t="shared" si="12"/>
        <v>0</v>
      </c>
      <c r="K49" s="587">
        <f t="shared" ref="K49" si="13">K43-K48</f>
        <v>0</v>
      </c>
      <c r="L49" s="587">
        <f t="shared" si="12"/>
        <v>0</v>
      </c>
      <c r="M49" s="591"/>
      <c r="N49" s="588"/>
      <c r="O49" s="589"/>
      <c r="P49" s="589"/>
    </row>
    <row r="50" spans="3:16" ht="16.5">
      <c r="N50" s="317"/>
      <c r="O50" s="317"/>
      <c r="P50" s="317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6" bestFit="1" customWidth="1"/>
    <col min="18" max="18" width="12" style="336" customWidth="1"/>
    <col min="19" max="16384" width="6.85546875" style="3"/>
  </cols>
  <sheetData>
    <row r="1" spans="1:16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34" t="s">
        <v>38</v>
      </c>
      <c r="B4" s="734"/>
      <c r="C4" s="734"/>
      <c r="D4" s="734"/>
      <c r="E4" s="734"/>
      <c r="F4" s="734"/>
      <c r="G4" s="734"/>
      <c r="H4" s="734"/>
    </row>
    <row r="5" spans="1:16" ht="6.75" customHeight="1"/>
    <row r="6" spans="1:16" ht="16.5">
      <c r="A6" s="719" t="str">
        <f>封面!$E$10&amp;封面!$H$10&amp;封面!$I$10&amp;封面!$J$10&amp;封面!$K$10&amp;封面!L10</f>
        <v>中華民國112年8月份</v>
      </c>
      <c r="B6" s="719"/>
      <c r="C6" s="719"/>
      <c r="D6" s="719"/>
      <c r="E6" s="719"/>
      <c r="F6" s="719"/>
      <c r="G6" s="719"/>
      <c r="H6" s="719"/>
    </row>
    <row r="7" spans="1:16" ht="14.25" customHeight="1">
      <c r="A7" s="658" t="s">
        <v>39</v>
      </c>
      <c r="B7" s="658"/>
      <c r="C7" s="658"/>
      <c r="D7" s="658"/>
      <c r="E7" s="658"/>
      <c r="F7" s="658"/>
      <c r="G7" s="658"/>
      <c r="H7" s="658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53" t="s">
        <v>40</v>
      </c>
      <c r="I9" s="147"/>
    </row>
    <row r="10" spans="1:16" ht="14.25" customHeight="1">
      <c r="A10" s="849" t="s">
        <v>41</v>
      </c>
      <c r="B10" s="851"/>
      <c r="C10" s="859" t="s">
        <v>51</v>
      </c>
      <c r="D10" s="851" t="s">
        <v>52</v>
      </c>
      <c r="E10" s="859" t="s">
        <v>53</v>
      </c>
      <c r="F10" s="859" t="s">
        <v>54</v>
      </c>
      <c r="G10" s="849" t="s">
        <v>42</v>
      </c>
      <c r="H10" s="854"/>
      <c r="I10" s="147"/>
      <c r="K10" s="204" t="s">
        <v>190</v>
      </c>
      <c r="L10" s="204" t="s">
        <v>191</v>
      </c>
      <c r="M10" s="856" t="s">
        <v>206</v>
      </c>
      <c r="N10" s="861" t="s">
        <v>218</v>
      </c>
      <c r="O10" s="858" t="s">
        <v>216</v>
      </c>
    </row>
    <row r="11" spans="1:16" ht="14.25">
      <c r="A11" s="850"/>
      <c r="B11" s="852"/>
      <c r="C11" s="860"/>
      <c r="D11" s="852"/>
      <c r="E11" s="860"/>
      <c r="F11" s="860"/>
      <c r="G11" s="850"/>
      <c r="H11" s="855"/>
      <c r="I11" s="147"/>
      <c r="M11" s="857"/>
      <c r="N11" s="862"/>
      <c r="O11" s="857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D15-[7]固定項目!D15</f>
        <v>-761342</v>
      </c>
      <c r="L15" s="251">
        <f>E15-[7]固定項目!E15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D16-[7]固定項目!D16</f>
        <v>0</v>
      </c>
      <c r="L16" s="252">
        <f>E16-[7]固定項目!E16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D17-[7]固定項目!D17</f>
        <v>0</v>
      </c>
      <c r="L17" s="252">
        <f>E17-[7]固定項目!E17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D18-[8]固定項目!D18</f>
        <v>0</v>
      </c>
      <c r="L18" s="252">
        <f>E18-[8]固定項目!E18</f>
        <v>0</v>
      </c>
      <c r="O18" s="253">
        <f>M18-N18+[8]固定項目!O18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D19-[8]固定項目!D20</f>
        <v>0</v>
      </c>
      <c r="L19" s="252">
        <f>E19-[8]固定項目!E20</f>
        <v>0</v>
      </c>
      <c r="O19" s="253">
        <f>M19-N19+[8]固定項目!O20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D20-[8]固定項目!D21</f>
        <v>0</v>
      </c>
      <c r="L20" s="252">
        <f>E20-[8]固定項目!E21</f>
        <v>0</v>
      </c>
      <c r="O20" s="253">
        <f>M20-N20+[8]固定項目!O21</f>
        <v>0</v>
      </c>
      <c r="P20" s="254">
        <f>C20+D20-E20-O20</f>
        <v>0</v>
      </c>
      <c r="Q20" s="336">
        <v>9760300</v>
      </c>
      <c r="R20" s="337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D21-[8]固定項目!D23</f>
        <v>0</v>
      </c>
      <c r="L21" s="252">
        <f>E21-[8]固定項目!E23</f>
        <v>0</v>
      </c>
      <c r="O21" s="253">
        <f>M21-N21+[8]固定項目!O23</f>
        <v>0</v>
      </c>
      <c r="P21" s="254">
        <f t="shared" ref="P21:P42" si="2">C21+D21-E21-O21</f>
        <v>0</v>
      </c>
      <c r="R21" s="337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D22-[8]固定項目!D24</f>
        <v>-65606</v>
      </c>
      <c r="L22" s="252">
        <f>E22-[8]固定項目!E24</f>
        <v>0</v>
      </c>
      <c r="M22" s="235">
        <v>32803</v>
      </c>
      <c r="O22" s="253">
        <f>M22-N22+[8]固定項目!O24</f>
        <v>2027157</v>
      </c>
      <c r="P22" s="254">
        <f t="shared" si="2"/>
        <v>-2027157</v>
      </c>
      <c r="Q22" s="336">
        <v>3532484</v>
      </c>
      <c r="R22" s="337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D23-[8]固定項目!D26</f>
        <v>0</v>
      </c>
      <c r="L23" s="252">
        <f>E23-[8]固定項目!E26</f>
        <v>0</v>
      </c>
      <c r="O23" s="253">
        <f>M23-N23+[8]固定項目!O26</f>
        <v>0</v>
      </c>
      <c r="P23" s="254">
        <f t="shared" si="2"/>
        <v>0</v>
      </c>
      <c r="R23" s="337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D24-[8]固定項目!D27</f>
        <v>0</v>
      </c>
      <c r="L24" s="252">
        <f>E24-[8]固定項目!E27</f>
        <v>-462500</v>
      </c>
      <c r="M24" s="235">
        <v>83429</v>
      </c>
      <c r="O24" s="253">
        <f>M24-N24+[8]固定項目!O27</f>
        <v>24356499</v>
      </c>
      <c r="P24" s="254">
        <f t="shared" si="2"/>
        <v>-24356499</v>
      </c>
      <c r="Q24" s="336">
        <v>20166512</v>
      </c>
      <c r="R24" s="337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D25-[8]固定項目!D29</f>
        <v>0</v>
      </c>
      <c r="L25" s="252">
        <f>E25-[8]固定項目!E29</f>
        <v>0</v>
      </c>
      <c r="O25" s="253">
        <f>M25-N25+[8]固定項目!O29</f>
        <v>0</v>
      </c>
      <c r="P25" s="254">
        <f t="shared" si="2"/>
        <v>0</v>
      </c>
      <c r="R25" s="337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D26-[8]固定項目!D30</f>
        <v>-112736</v>
      </c>
      <c r="L26" s="252">
        <f>E26-[8]固定項目!E30</f>
        <v>-343611</v>
      </c>
      <c r="M26" s="235">
        <v>24242</v>
      </c>
      <c r="O26" s="253">
        <f>M26-N26+[8]固定項目!O30</f>
        <v>4960805</v>
      </c>
      <c r="P26" s="254">
        <f t="shared" si="2"/>
        <v>-4960805</v>
      </c>
      <c r="Q26" s="336">
        <v>1123223</v>
      </c>
      <c r="R26" s="337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D27-[8]固定項目!D32</f>
        <v>0</v>
      </c>
      <c r="L27" s="252">
        <f>E27-[8]固定項目!E32</f>
        <v>0</v>
      </c>
      <c r="O27" s="253">
        <f>M27-N27+[8]固定項目!O32</f>
        <v>0</v>
      </c>
      <c r="P27" s="254">
        <f t="shared" si="2"/>
        <v>0</v>
      </c>
      <c r="R27" s="337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D28-[8]固定項目!D33</f>
        <v>0</v>
      </c>
      <c r="L28" s="252">
        <f>E28-[8]固定項目!E33</f>
        <v>-98000</v>
      </c>
      <c r="M28" s="235">
        <v>5018</v>
      </c>
      <c r="O28" s="253">
        <f>M28-N28+[8]固定項目!O33</f>
        <v>707188</v>
      </c>
      <c r="P28" s="254">
        <f t="shared" si="2"/>
        <v>-707188</v>
      </c>
      <c r="Q28" s="336">
        <v>148230</v>
      </c>
      <c r="R28" s="337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D29-[8]固定項目!D35</f>
        <v>0</v>
      </c>
      <c r="L29" s="252">
        <f>E29-[8]固定項目!E35</f>
        <v>0</v>
      </c>
      <c r="O29" s="253">
        <f>M29-N29+[8]固定項目!O35</f>
        <v>0</v>
      </c>
      <c r="P29" s="254">
        <f t="shared" si="2"/>
        <v>0</v>
      </c>
      <c r="R29" s="337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D30-[8]固定項目!D36</f>
        <v>-596000</v>
      </c>
      <c r="L30" s="252">
        <f>E30-[8]固定項目!E36</f>
        <v>-111600</v>
      </c>
      <c r="M30" s="235">
        <v>13923</v>
      </c>
      <c r="O30" s="253">
        <f>M30-N30+[8]固定項目!O36</f>
        <v>3802410</v>
      </c>
      <c r="P30" s="254">
        <f t="shared" si="2"/>
        <v>-3802410</v>
      </c>
      <c r="Q30" s="336">
        <v>667523</v>
      </c>
      <c r="R30" s="337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D31-[8]固定項目!D38</f>
        <v>0</v>
      </c>
      <c r="L31" s="252">
        <f>E31-[8]固定項目!E38</f>
        <v>0</v>
      </c>
      <c r="O31" s="253">
        <f>M31-N31+[8]固定項目!O38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D32-[8]固定項目!D39</f>
        <v>0</v>
      </c>
      <c r="L32" s="252">
        <f>E32-[8]固定項目!E39</f>
        <v>0</v>
      </c>
      <c r="O32" s="253">
        <f>M32-N32+[8]固定項目!O39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D33-[8]固定項目!D41</f>
        <v>0</v>
      </c>
      <c r="L33" s="252">
        <f>E33-[8]固定項目!E41</f>
        <v>0</v>
      </c>
      <c r="O33" s="253">
        <f>M33-N33+[8]固定項目!O41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D34-[8]固定項目!D42</f>
        <v>0</v>
      </c>
      <c r="L34" s="252">
        <f>E34-[8]固定項目!E42</f>
        <v>0</v>
      </c>
      <c r="M34" s="250"/>
      <c r="N34" s="250">
        <f>E34</f>
        <v>0</v>
      </c>
      <c r="O34" s="253">
        <f>M34-N34+[8]固定項目!O42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D35-[8]固定項目!D44</f>
        <v>0</v>
      </c>
      <c r="L35" s="252">
        <f>E35-[8]固定項目!E44</f>
        <v>0</v>
      </c>
      <c r="O35" s="253">
        <f>M35-N35+[8]固定項目!O44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D36-[8]固定項目!D45</f>
        <v>0</v>
      </c>
      <c r="L36" s="252">
        <f>E36-[8]固定項目!E45</f>
        <v>0</v>
      </c>
      <c r="O36" s="253">
        <f>M36-N36+[8]固定項目!O45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M37-N37+[8]固定項目!O47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M38-N38+[8]固定項目!O48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M39-N39+[8]固定項目!O50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M40-N40+[8]固定項目!O51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M41-N41+[8]固定項目!O53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M42-N42+[8]固定項目!O54</f>
        <v>0</v>
      </c>
      <c r="P42" s="248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26" t="s">
        <v>144</v>
      </c>
      <c r="B1" s="626"/>
    </row>
    <row r="2" spans="1:8">
      <c r="A2" s="627" t="s">
        <v>145</v>
      </c>
      <c r="B2" s="626"/>
    </row>
    <row r="3" spans="1:8">
      <c r="A3" s="626" t="s">
        <v>146</v>
      </c>
      <c r="B3" s="626"/>
    </row>
    <row r="4" spans="1:8" ht="28.5">
      <c r="A4" s="626" t="s">
        <v>147</v>
      </c>
      <c r="B4" s="626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27" t="s">
        <v>148</v>
      </c>
      <c r="B5" s="626"/>
      <c r="C5" s="182" t="e">
        <f>VLOOKUP("應付費用",平衡!$N$13:$U$64,4,0)</f>
        <v>#N/A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4788640</v>
      </c>
    </row>
    <row r="6" spans="1:8" ht="15" thickBot="1">
      <c r="A6" s="624" t="s">
        <v>149</v>
      </c>
      <c r="B6" s="625"/>
      <c r="C6" s="180" t="s">
        <v>163</v>
      </c>
      <c r="D6" s="195">
        <f>VLOOKUP("銀行存款-縣庫存款",平衡!$E$13:$H$41,4,0)+VLOOKUP("零用及週轉金",平衡!$D$13:$H$41,5,0)</f>
        <v>3567451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24" t="s">
        <v>150</v>
      </c>
      <c r="B7" s="625"/>
      <c r="C7" s="180" t="s">
        <v>164</v>
      </c>
      <c r="D7" s="195">
        <f>VLOOKUP("銀行存款-專戶存款",平衡!$E$13:$H$41,4,0)+VLOOKUP("其他預付款",平衡!$D$13:$H$41,5,0)</f>
        <v>6851724</v>
      </c>
      <c r="E7" s="195" t="e">
        <f>VLOOKUP("應付代收款",平衡!$N$13:$U$41,7,0)+VLOOKUP("存入保證金",平衡!$N$13:$U$41,7,0)</f>
        <v>#N/A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53807960</v>
      </c>
      <c r="E8" s="196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26785086</v>
      </c>
      <c r="E9" s="196">
        <f>VLOOKUP("合       計",各項費用!$D$12:$Q$86,14)</f>
        <v>26785086</v>
      </c>
      <c r="F9" s="196">
        <f>縣庫對帳!P3</f>
        <v>26785086</v>
      </c>
    </row>
    <row r="10" spans="1:8" ht="33.75" thickBot="1">
      <c r="A10" s="73" t="s">
        <v>128</v>
      </c>
      <c r="B10" s="74" t="s">
        <v>129</v>
      </c>
      <c r="C10" s="180" t="s">
        <v>324</v>
      </c>
      <c r="D10" s="196">
        <f>VLOOKUP("基金來源",餘絀表!$C$16:$T$45,18,0)</f>
        <v>28610974</v>
      </c>
      <c r="E10" s="196">
        <f>縣庫對帳!N3</f>
        <v>28610974</v>
      </c>
      <c r="F10" s="196"/>
      <c r="G10" s="196"/>
      <c r="H10" s="161" t="e">
        <f>D13-E13</f>
        <v>#N/A</v>
      </c>
    </row>
    <row r="11" spans="1:8" ht="27" customHeight="1">
      <c r="A11" s="619" t="s">
        <v>27</v>
      </c>
      <c r="B11" s="619" t="s">
        <v>130</v>
      </c>
      <c r="C11" s="180" t="s">
        <v>335</v>
      </c>
      <c r="D11" s="196">
        <f>VLOOKUP("政府撥入收入",餘絀表!$C$16:$T$45,18,0)</f>
        <v>28603013</v>
      </c>
      <c r="E11" s="196"/>
      <c r="F11" s="196">
        <f>VLOOKUP("政府撥入收入",收支!$B$14:$N$61,13,0)</f>
        <v>28603013</v>
      </c>
      <c r="G11" s="196">
        <f>VLOOKUP("政府撥入收入",對照表!$B$1:$E$28,4,0)</f>
        <v>28603013</v>
      </c>
    </row>
    <row r="12" spans="1:8" ht="28.5">
      <c r="A12" s="622"/>
      <c r="B12" s="622"/>
      <c r="C12" s="180" t="s">
        <v>336</v>
      </c>
      <c r="D12" s="196"/>
      <c r="E12" s="196"/>
      <c r="F12" s="196">
        <f>VLOOKUP("收入",收支!$A$14:$N$61,14,0)</f>
        <v>33119710</v>
      </c>
      <c r="G12" s="196">
        <f>VLOOKUP("基金來源",對照表!$A$1:$E$28,5,0)</f>
        <v>33119710</v>
      </c>
    </row>
    <row r="13" spans="1:8">
      <c r="A13" s="622"/>
      <c r="B13" s="622"/>
      <c r="C13" s="180" t="s">
        <v>321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4176404</v>
      </c>
      <c r="G13" s="194" t="e">
        <f>IF(E13&gt;=0,"本期賸餘","本期短絀")</f>
        <v>#N/A</v>
      </c>
    </row>
    <row r="14" spans="1:8">
      <c r="A14" s="622"/>
      <c r="B14" s="622"/>
      <c r="C14" s="180" t="s">
        <v>322</v>
      </c>
      <c r="D14" s="196">
        <f>IF(封面!J10=12,0,VLOOKUP("本期賸餘(短絀－)",餘絀表!$C$16:$T$48,18,0))</f>
        <v>1825888</v>
      </c>
      <c r="E14" s="196"/>
      <c r="F14" s="196">
        <f>IF(封面!K11=12,0,VLOOKUP("本期賸餘(短絀)",對照表!$A$1:$C$28,3,0))</f>
        <v>1825888</v>
      </c>
      <c r="G14" s="194"/>
    </row>
    <row r="15" spans="1:8">
      <c r="A15" s="622"/>
      <c r="B15" s="622"/>
      <c r="C15" s="180" t="s">
        <v>323</v>
      </c>
      <c r="D15" s="196">
        <f>IF(封面!J12=12,0,VLOOKUP($G$15,平衡!$K$13:$U$41,10,0))</f>
        <v>46956236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323</v>
      </c>
    </row>
    <row r="16" spans="1:8" ht="15" thickBot="1">
      <c r="A16" s="623"/>
      <c r="B16" s="623"/>
      <c r="C16" s="180" t="s">
        <v>153</v>
      </c>
      <c r="D16" s="196">
        <f>VLOOKUP("國民教育計畫",主要業務!$B$15:$J$24,7,0)</f>
        <v>5164543</v>
      </c>
      <c r="E16" s="196">
        <f>VLOOKUP("國民教育計畫",餘絀表!$C$16:$T$45,9,0)</f>
        <v>0</v>
      </c>
    </row>
    <row r="17" spans="1:8">
      <c r="A17" s="619" t="s">
        <v>142</v>
      </c>
      <c r="B17" s="619" t="s">
        <v>131</v>
      </c>
      <c r="C17" s="180" t="s">
        <v>154</v>
      </c>
      <c r="D17" s="196">
        <f>主要業務!H17</f>
        <v>26785086</v>
      </c>
      <c r="E17" s="196">
        <f>VLOOKUP("國民教育計畫",餘絀表!$C$16:$T$45,18,0)</f>
        <v>26785086</v>
      </c>
    </row>
    <row r="18" spans="1:8">
      <c r="A18" s="620"/>
      <c r="B18" s="622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20"/>
      <c r="B19" s="622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20"/>
      <c r="B20" s="622"/>
      <c r="C20" s="180" t="s">
        <v>325</v>
      </c>
      <c r="D20" s="196">
        <f>VLOOKUP("用人費用",各項費用!$F$12:$Q$100,12,0)</f>
        <v>25724025</v>
      </c>
      <c r="E20" s="196">
        <f>VLOOKUP("人事支出",收支!$B$14:$N$61,13,0)</f>
        <v>25724025</v>
      </c>
      <c r="F20" s="196">
        <f>VLOOKUP("用人費用",對照表!$B$1:$E$28,4,0)</f>
        <v>25724025</v>
      </c>
    </row>
    <row r="21" spans="1:8">
      <c r="A21" s="620"/>
      <c r="B21" s="622"/>
      <c r="C21" s="180" t="s">
        <v>326</v>
      </c>
      <c r="D21" s="196">
        <f>IF(E21=0,0,資產!F10+H21)</f>
        <v>2626990</v>
      </c>
      <c r="E21" s="196">
        <f>VLOOKUP("折舊、折耗及攤銷",收支!$B$14:$N$61,13,0)</f>
        <v>2157571</v>
      </c>
      <c r="F21" s="196">
        <f>VLOOKUP("折舊、折耗及攤銷",對照表!$H$1:$J$28,3,0)</f>
        <v>2157571</v>
      </c>
      <c r="G21" s="452" t="s">
        <v>337</v>
      </c>
      <c r="H21" s="453">
        <f>464532-4645</f>
        <v>459887</v>
      </c>
    </row>
    <row r="22" spans="1:8">
      <c r="A22" s="620"/>
      <c r="B22" s="622"/>
      <c r="C22" s="180" t="s">
        <v>297</v>
      </c>
      <c r="D22" s="195">
        <v>0</v>
      </c>
      <c r="E22" s="195"/>
      <c r="F22" s="165"/>
    </row>
    <row r="23" spans="1:8">
      <c r="A23" s="620"/>
      <c r="B23" s="622"/>
      <c r="C23" s="180" t="s">
        <v>298</v>
      </c>
      <c r="D23" s="195">
        <f>D28-D22-D24-D25-D26-D27</f>
        <v>-5</v>
      </c>
      <c r="E23" s="195"/>
      <c r="F23" s="165" t="s">
        <v>299</v>
      </c>
    </row>
    <row r="24" spans="1:8">
      <c r="A24" s="620"/>
      <c r="B24" s="622"/>
      <c r="C24" s="180" t="s">
        <v>300</v>
      </c>
      <c r="D24" s="195"/>
      <c r="E24" s="195"/>
      <c r="F24" s="165" t="s">
        <v>301</v>
      </c>
    </row>
    <row r="25" spans="1:8">
      <c r="A25" s="620"/>
      <c r="B25" s="622"/>
      <c r="C25" s="180" t="s">
        <v>302</v>
      </c>
      <c r="D25" s="195">
        <v>0</v>
      </c>
      <c r="E25" s="195"/>
      <c r="F25" s="165"/>
    </row>
    <row r="26" spans="1:8" ht="15" thickBot="1">
      <c r="A26" s="621"/>
      <c r="B26" s="623"/>
      <c r="C26" s="180" t="s">
        <v>303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304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305</v>
      </c>
      <c r="D28" s="195"/>
      <c r="E28" s="195"/>
      <c r="F28" s="165" t="s">
        <v>306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19" t="s">
        <v>136</v>
      </c>
      <c r="B30" s="619" t="s">
        <v>137</v>
      </c>
      <c r="D30" s="196"/>
      <c r="E30" s="196"/>
      <c r="F30" s="183"/>
    </row>
    <row r="31" spans="1:8">
      <c r="A31" s="622"/>
      <c r="B31" s="622"/>
      <c r="D31" s="196"/>
      <c r="E31" s="196"/>
      <c r="F31" s="183"/>
    </row>
    <row r="32" spans="1:8" ht="15" thickBot="1">
      <c r="A32" s="621"/>
      <c r="B32" s="621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99" t="s">
        <v>83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  <c r="N1" s="900"/>
      <c r="O1" s="900"/>
      <c r="P1" s="900"/>
      <c r="Q1" s="900"/>
      <c r="R1" s="901"/>
    </row>
    <row r="2" spans="1:85">
      <c r="A2" s="902" t="str">
        <f>"茲列出 貴機關"&amp;封面!H10&amp;封面!J10&amp;"01至"&amp;封面!H10&amp;封面!J10&amp;封面!O10&amp;"歲出分配餘額暨支付明細，送請詳加核對"</f>
        <v>茲列出 貴機關112801至112831歲出分配餘額暨支付明細，送請詳加核對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4"/>
    </row>
    <row r="3" spans="1:85">
      <c r="A3" s="905" t="s">
        <v>84</v>
      </c>
      <c r="B3" s="906"/>
      <c r="C3" s="906"/>
      <c r="D3" s="906"/>
      <c r="E3" s="906"/>
      <c r="F3" s="906"/>
      <c r="G3" s="906"/>
      <c r="H3" s="906"/>
      <c r="I3" s="906"/>
      <c r="J3" s="906"/>
      <c r="K3" s="906"/>
      <c r="L3" s="906"/>
      <c r="M3" s="906"/>
      <c r="N3" s="906"/>
      <c r="O3" s="906"/>
      <c r="P3" s="906"/>
      <c r="Q3" s="906"/>
      <c r="R3" s="907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74" t="s">
        <v>85</v>
      </c>
      <c r="D5" s="874"/>
      <c r="E5" s="874"/>
      <c r="F5" s="874"/>
      <c r="G5" s="874"/>
      <c r="H5" s="874" t="s">
        <v>86</v>
      </c>
      <c r="I5" s="874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98"/>
      <c r="D6" s="877"/>
      <c r="E6" s="877"/>
      <c r="F6" s="896" t="s">
        <v>88</v>
      </c>
      <c r="G6" s="872"/>
      <c r="H6" s="872"/>
      <c r="I6" s="872"/>
      <c r="J6" s="872"/>
      <c r="K6" s="872"/>
      <c r="L6" s="33"/>
      <c r="M6" s="33"/>
      <c r="N6" s="33"/>
      <c r="O6" s="33"/>
      <c r="P6" s="33"/>
      <c r="Q6" s="33"/>
      <c r="R6" s="40"/>
    </row>
    <row r="7" spans="1:85">
      <c r="A7" s="38"/>
      <c r="B7" s="896" t="s">
        <v>89</v>
      </c>
      <c r="C7" s="896"/>
      <c r="D7" s="896"/>
      <c r="E7" s="896"/>
      <c r="F7" s="896"/>
      <c r="G7" s="896"/>
      <c r="H7" s="896"/>
      <c r="I7" s="896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96" t="s">
        <v>90</v>
      </c>
      <c r="C8" s="896"/>
      <c r="D8" s="896"/>
      <c r="E8" s="896"/>
      <c r="F8" s="896"/>
      <c r="G8" s="896"/>
      <c r="H8" s="896"/>
      <c r="I8" s="896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8" t="s">
        <v>92</v>
      </c>
      <c r="C9" s="878"/>
      <c r="D9" s="878"/>
      <c r="E9" s="878"/>
      <c r="F9" s="878"/>
      <c r="G9" s="878"/>
      <c r="H9" s="878"/>
      <c r="I9" s="87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7" t="s">
        <v>93</v>
      </c>
      <c r="B10" s="874"/>
      <c r="C10" s="874"/>
      <c r="D10" s="875"/>
      <c r="E10" s="873" t="s">
        <v>94</v>
      </c>
      <c r="F10" s="875"/>
      <c r="G10" s="873" t="s">
        <v>95</v>
      </c>
      <c r="H10" s="875"/>
      <c r="I10" s="873" t="s">
        <v>96</v>
      </c>
      <c r="J10" s="875"/>
      <c r="K10" s="873" t="s">
        <v>71</v>
      </c>
      <c r="L10" s="875"/>
      <c r="M10" s="873" t="s">
        <v>97</v>
      </c>
      <c r="N10" s="874"/>
      <c r="O10" s="874"/>
      <c r="P10" s="874"/>
      <c r="Q10" s="874"/>
      <c r="R10" s="875"/>
    </row>
    <row r="11" spans="1:85" ht="52.5" customHeight="1">
      <c r="A11" s="867" t="s">
        <v>98</v>
      </c>
      <c r="B11" s="868"/>
      <c r="C11" s="868"/>
      <c r="D11" s="869"/>
      <c r="E11" s="889" t="s">
        <v>99</v>
      </c>
      <c r="F11" s="890"/>
      <c r="G11" s="863">
        <v>1053704</v>
      </c>
      <c r="H11" s="864"/>
      <c r="I11" s="863">
        <v>365251010501182</v>
      </c>
      <c r="J11" s="864"/>
      <c r="K11" s="865">
        <v>26000</v>
      </c>
      <c r="L11" s="866"/>
      <c r="M11" s="867" t="s">
        <v>100</v>
      </c>
      <c r="N11" s="868"/>
      <c r="O11" s="868"/>
      <c r="P11" s="868"/>
      <c r="Q11" s="868"/>
      <c r="R11" s="869"/>
      <c r="S11" s="45" t="s">
        <v>101</v>
      </c>
    </row>
    <row r="12" spans="1:85" ht="54" customHeight="1">
      <c r="A12" s="867" t="s">
        <v>102</v>
      </c>
      <c r="B12" s="868"/>
      <c r="C12" s="868"/>
      <c r="D12" s="869"/>
      <c r="E12" s="889" t="s">
        <v>103</v>
      </c>
      <c r="F12" s="890"/>
      <c r="G12" s="863">
        <v>1050843</v>
      </c>
      <c r="H12" s="864"/>
      <c r="I12" s="863">
        <v>365251010500989</v>
      </c>
      <c r="J12" s="864"/>
      <c r="K12" s="865">
        <v>129310</v>
      </c>
      <c r="L12" s="866"/>
      <c r="M12" s="867" t="s">
        <v>104</v>
      </c>
      <c r="N12" s="868"/>
      <c r="O12" s="868"/>
      <c r="P12" s="868"/>
      <c r="Q12" s="868"/>
      <c r="R12" s="869"/>
    </row>
    <row r="13" spans="1:85" ht="52.5" customHeight="1">
      <c r="A13" s="867" t="s">
        <v>105</v>
      </c>
      <c r="B13" s="868"/>
      <c r="C13" s="868"/>
      <c r="D13" s="869"/>
      <c r="E13" s="889" t="s">
        <v>99</v>
      </c>
      <c r="F13" s="890"/>
      <c r="G13" s="863">
        <v>1053632</v>
      </c>
      <c r="H13" s="864"/>
      <c r="I13" s="863">
        <v>365251010501170</v>
      </c>
      <c r="J13" s="864"/>
      <c r="K13" s="865">
        <v>12925</v>
      </c>
      <c r="L13" s="866"/>
      <c r="M13" s="867" t="s">
        <v>106</v>
      </c>
      <c r="N13" s="868"/>
      <c r="O13" s="868"/>
      <c r="P13" s="868"/>
      <c r="Q13" s="868"/>
      <c r="R13" s="869"/>
    </row>
    <row r="14" spans="1:85">
      <c r="A14" s="891"/>
      <c r="B14" s="892"/>
      <c r="C14" s="892"/>
      <c r="D14" s="893"/>
      <c r="E14" s="894"/>
      <c r="F14" s="895"/>
      <c r="G14" s="870"/>
      <c r="H14" s="871"/>
      <c r="I14" s="870"/>
      <c r="J14" s="871"/>
      <c r="K14" s="882"/>
      <c r="L14" s="883"/>
      <c r="M14" s="884"/>
      <c r="N14" s="885"/>
      <c r="O14" s="885"/>
      <c r="P14" s="885"/>
      <c r="Q14" s="885"/>
      <c r="R14" s="886"/>
    </row>
    <row r="15" spans="1:85">
      <c r="A15" s="873" t="s">
        <v>107</v>
      </c>
      <c r="B15" s="874"/>
      <c r="C15" s="874"/>
      <c r="D15" s="874"/>
      <c r="E15" s="874"/>
      <c r="F15" s="874"/>
      <c r="G15" s="874"/>
      <c r="H15" s="874"/>
      <c r="I15" s="874"/>
      <c r="J15" s="874"/>
      <c r="K15" s="874"/>
      <c r="L15" s="874"/>
      <c r="M15" s="874"/>
      <c r="N15" s="874"/>
      <c r="O15" s="874"/>
      <c r="P15" s="874"/>
      <c r="Q15" s="874"/>
      <c r="R15" s="87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76" t="s">
        <v>108</v>
      </c>
      <c r="B16" s="87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8" t="s">
        <v>110</v>
      </c>
      <c r="D18" s="878"/>
      <c r="E18" s="43"/>
      <c r="F18" s="43"/>
      <c r="G18" s="42"/>
      <c r="H18" s="42"/>
      <c r="I18" s="878" t="s">
        <v>111</v>
      </c>
      <c r="J18" s="878"/>
      <c r="K18" s="878"/>
      <c r="L18" s="43"/>
      <c r="M18" s="43"/>
      <c r="N18" s="43"/>
      <c r="O18" s="43"/>
      <c r="P18" s="879">
        <f ca="1">NOW()</f>
        <v>45260.488234490738</v>
      </c>
      <c r="Q18" s="880"/>
      <c r="R18" s="88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7" t="s">
        <v>112</v>
      </c>
      <c r="B19" s="877"/>
      <c r="E19" s="887" t="s">
        <v>113</v>
      </c>
      <c r="F19" s="888"/>
      <c r="G19" s="888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2" t="s">
        <v>115</v>
      </c>
      <c r="B20" s="872"/>
      <c r="F20" s="872" t="s">
        <v>115</v>
      </c>
      <c r="G20" s="872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9094F-1651-45A8-9555-C2999EE68C84}">
  <sheetPr>
    <outlinePr summaryBelow="0"/>
    <pageSetUpPr autoPageBreaks="0"/>
  </sheetPr>
  <dimension ref="A1:T195"/>
  <sheetViews>
    <sheetView showGridLines="0" topLeftCell="A97" workbookViewId="0">
      <selection activeCell="S90" sqref="S90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20" width="9.85546875" bestFit="1" customWidth="1"/>
    <col min="21" max="250" width="6.85546875" customWidth="1"/>
    <col min="251" max="251" width="3.140625" customWidth="1"/>
    <col min="252" max="252" width="21.140625" customWidth="1"/>
    <col min="253" max="253" width="7.42578125" customWidth="1"/>
    <col min="254" max="254" width="1.42578125" customWidth="1"/>
    <col min="255" max="255" width="11.85546875" customWidth="1"/>
    <col min="256" max="256" width="2.28515625" customWidth="1"/>
    <col min="257" max="257" width="11.28515625" customWidth="1"/>
    <col min="258" max="258" width="2" customWidth="1"/>
    <col min="259" max="259" width="12.85546875" customWidth="1"/>
    <col min="260" max="260" width="1.42578125" customWidth="1"/>
    <col min="261" max="261" width="11.5703125" customWidth="1"/>
    <col min="262" max="262" width="2.85546875" customWidth="1"/>
    <col min="263" max="263" width="1" customWidth="1"/>
    <col min="264" max="264" width="8" customWidth="1"/>
    <col min="265" max="265" width="2.28515625" customWidth="1"/>
    <col min="266" max="266" width="2.140625" customWidth="1"/>
    <col min="267" max="267" width="9.28515625" customWidth="1"/>
    <col min="268" max="268" width="4" customWidth="1"/>
    <col min="269" max="269" width="2.85546875" customWidth="1"/>
    <col min="270" max="270" width="12.5703125" customWidth="1"/>
    <col min="271" max="271" width="1" customWidth="1"/>
    <col min="272" max="272" width="1.140625" customWidth="1"/>
    <col min="273" max="273" width="2.85546875" customWidth="1"/>
    <col min="274" max="274" width="9.85546875" customWidth="1"/>
    <col min="275" max="506" width="6.85546875" customWidth="1"/>
    <col min="507" max="507" width="3.140625" customWidth="1"/>
    <col min="508" max="508" width="21.140625" customWidth="1"/>
    <col min="509" max="509" width="7.42578125" customWidth="1"/>
    <col min="510" max="510" width="1.42578125" customWidth="1"/>
    <col min="511" max="511" width="11.85546875" customWidth="1"/>
    <col min="512" max="512" width="2.28515625" customWidth="1"/>
    <col min="513" max="513" width="11.28515625" customWidth="1"/>
    <col min="514" max="514" width="2" customWidth="1"/>
    <col min="515" max="515" width="12.85546875" customWidth="1"/>
    <col min="516" max="516" width="1.42578125" customWidth="1"/>
    <col min="517" max="517" width="11.5703125" customWidth="1"/>
    <col min="518" max="518" width="2.85546875" customWidth="1"/>
    <col min="519" max="519" width="1" customWidth="1"/>
    <col min="520" max="520" width="8" customWidth="1"/>
    <col min="521" max="521" width="2.28515625" customWidth="1"/>
    <col min="522" max="522" width="2.140625" customWidth="1"/>
    <col min="523" max="523" width="9.28515625" customWidth="1"/>
    <col min="524" max="524" width="4" customWidth="1"/>
    <col min="525" max="525" width="2.85546875" customWidth="1"/>
    <col min="526" max="526" width="12.5703125" customWidth="1"/>
    <col min="527" max="527" width="1" customWidth="1"/>
    <col min="528" max="528" width="1.140625" customWidth="1"/>
    <col min="529" max="529" width="2.85546875" customWidth="1"/>
    <col min="530" max="530" width="9.85546875" customWidth="1"/>
    <col min="531" max="762" width="6.85546875" customWidth="1"/>
    <col min="763" max="763" width="3.140625" customWidth="1"/>
    <col min="764" max="764" width="21.140625" customWidth="1"/>
    <col min="765" max="765" width="7.42578125" customWidth="1"/>
    <col min="766" max="766" width="1.42578125" customWidth="1"/>
    <col min="767" max="767" width="11.85546875" customWidth="1"/>
    <col min="768" max="768" width="2.28515625" customWidth="1"/>
    <col min="769" max="769" width="11.28515625" customWidth="1"/>
    <col min="770" max="770" width="2" customWidth="1"/>
    <col min="771" max="771" width="12.85546875" customWidth="1"/>
    <col min="772" max="772" width="1.42578125" customWidth="1"/>
    <col min="773" max="773" width="11.5703125" customWidth="1"/>
    <col min="774" max="774" width="2.85546875" customWidth="1"/>
    <col min="775" max="775" width="1" customWidth="1"/>
    <col min="776" max="776" width="8" customWidth="1"/>
    <col min="777" max="777" width="2.28515625" customWidth="1"/>
    <col min="778" max="778" width="2.140625" customWidth="1"/>
    <col min="779" max="779" width="9.28515625" customWidth="1"/>
    <col min="780" max="780" width="4" customWidth="1"/>
    <col min="781" max="781" width="2.85546875" customWidth="1"/>
    <col min="782" max="782" width="12.5703125" customWidth="1"/>
    <col min="783" max="783" width="1" customWidth="1"/>
    <col min="784" max="784" width="1.140625" customWidth="1"/>
    <col min="785" max="785" width="2.85546875" customWidth="1"/>
    <col min="786" max="786" width="9.85546875" customWidth="1"/>
    <col min="787" max="1018" width="6.85546875" customWidth="1"/>
    <col min="1019" max="1019" width="3.140625" customWidth="1"/>
    <col min="1020" max="1020" width="21.140625" customWidth="1"/>
    <col min="1021" max="1021" width="7.42578125" customWidth="1"/>
    <col min="1022" max="1022" width="1.42578125" customWidth="1"/>
    <col min="1023" max="1023" width="11.85546875" customWidth="1"/>
    <col min="1024" max="1024" width="2.28515625" customWidth="1"/>
    <col min="1025" max="1025" width="11.28515625" customWidth="1"/>
    <col min="1026" max="1026" width="2" customWidth="1"/>
    <col min="1027" max="1027" width="12.85546875" customWidth="1"/>
    <col min="1028" max="1028" width="1.42578125" customWidth="1"/>
    <col min="1029" max="1029" width="11.5703125" customWidth="1"/>
    <col min="1030" max="1030" width="2.85546875" customWidth="1"/>
    <col min="1031" max="1031" width="1" customWidth="1"/>
    <col min="1032" max="1032" width="8" customWidth="1"/>
    <col min="1033" max="1033" width="2.28515625" customWidth="1"/>
    <col min="1034" max="1034" width="2.140625" customWidth="1"/>
    <col min="1035" max="1035" width="9.28515625" customWidth="1"/>
    <col min="1036" max="1036" width="4" customWidth="1"/>
    <col min="1037" max="1037" width="2.85546875" customWidth="1"/>
    <col min="1038" max="1038" width="12.5703125" customWidth="1"/>
    <col min="1039" max="1039" width="1" customWidth="1"/>
    <col min="1040" max="1040" width="1.140625" customWidth="1"/>
    <col min="1041" max="1041" width="2.85546875" customWidth="1"/>
    <col min="1042" max="1042" width="9.85546875" customWidth="1"/>
    <col min="1043" max="1274" width="6.85546875" customWidth="1"/>
    <col min="1275" max="1275" width="3.140625" customWidth="1"/>
    <col min="1276" max="1276" width="21.140625" customWidth="1"/>
    <col min="1277" max="1277" width="7.42578125" customWidth="1"/>
    <col min="1278" max="1278" width="1.42578125" customWidth="1"/>
    <col min="1279" max="1279" width="11.85546875" customWidth="1"/>
    <col min="1280" max="1280" width="2.28515625" customWidth="1"/>
    <col min="1281" max="1281" width="11.28515625" customWidth="1"/>
    <col min="1282" max="1282" width="2" customWidth="1"/>
    <col min="1283" max="1283" width="12.85546875" customWidth="1"/>
    <col min="1284" max="1284" width="1.42578125" customWidth="1"/>
    <col min="1285" max="1285" width="11.5703125" customWidth="1"/>
    <col min="1286" max="1286" width="2.85546875" customWidth="1"/>
    <col min="1287" max="1287" width="1" customWidth="1"/>
    <col min="1288" max="1288" width="8" customWidth="1"/>
    <col min="1289" max="1289" width="2.28515625" customWidth="1"/>
    <col min="1290" max="1290" width="2.140625" customWidth="1"/>
    <col min="1291" max="1291" width="9.28515625" customWidth="1"/>
    <col min="1292" max="1292" width="4" customWidth="1"/>
    <col min="1293" max="1293" width="2.85546875" customWidth="1"/>
    <col min="1294" max="1294" width="12.5703125" customWidth="1"/>
    <col min="1295" max="1295" width="1" customWidth="1"/>
    <col min="1296" max="1296" width="1.140625" customWidth="1"/>
    <col min="1297" max="1297" width="2.85546875" customWidth="1"/>
    <col min="1298" max="1298" width="9.85546875" customWidth="1"/>
    <col min="1299" max="1530" width="6.85546875" customWidth="1"/>
    <col min="1531" max="1531" width="3.140625" customWidth="1"/>
    <col min="1532" max="1532" width="21.140625" customWidth="1"/>
    <col min="1533" max="1533" width="7.42578125" customWidth="1"/>
    <col min="1534" max="1534" width="1.42578125" customWidth="1"/>
    <col min="1535" max="1535" width="11.85546875" customWidth="1"/>
    <col min="1536" max="1536" width="2.28515625" customWidth="1"/>
    <col min="1537" max="1537" width="11.28515625" customWidth="1"/>
    <col min="1538" max="1538" width="2" customWidth="1"/>
    <col min="1539" max="1539" width="12.85546875" customWidth="1"/>
    <col min="1540" max="1540" width="1.42578125" customWidth="1"/>
    <col min="1541" max="1541" width="11.5703125" customWidth="1"/>
    <col min="1542" max="1542" width="2.85546875" customWidth="1"/>
    <col min="1543" max="1543" width="1" customWidth="1"/>
    <col min="1544" max="1544" width="8" customWidth="1"/>
    <col min="1545" max="1545" width="2.28515625" customWidth="1"/>
    <col min="1546" max="1546" width="2.140625" customWidth="1"/>
    <col min="1547" max="1547" width="9.28515625" customWidth="1"/>
    <col min="1548" max="1548" width="4" customWidth="1"/>
    <col min="1549" max="1549" width="2.85546875" customWidth="1"/>
    <col min="1550" max="1550" width="12.5703125" customWidth="1"/>
    <col min="1551" max="1551" width="1" customWidth="1"/>
    <col min="1552" max="1552" width="1.140625" customWidth="1"/>
    <col min="1553" max="1553" width="2.85546875" customWidth="1"/>
    <col min="1554" max="1554" width="9.85546875" customWidth="1"/>
    <col min="1555" max="1786" width="6.85546875" customWidth="1"/>
    <col min="1787" max="1787" width="3.140625" customWidth="1"/>
    <col min="1788" max="1788" width="21.140625" customWidth="1"/>
    <col min="1789" max="1789" width="7.42578125" customWidth="1"/>
    <col min="1790" max="1790" width="1.42578125" customWidth="1"/>
    <col min="1791" max="1791" width="11.85546875" customWidth="1"/>
    <col min="1792" max="1792" width="2.28515625" customWidth="1"/>
    <col min="1793" max="1793" width="11.28515625" customWidth="1"/>
    <col min="1794" max="1794" width="2" customWidth="1"/>
    <col min="1795" max="1795" width="12.85546875" customWidth="1"/>
    <col min="1796" max="1796" width="1.42578125" customWidth="1"/>
    <col min="1797" max="1797" width="11.5703125" customWidth="1"/>
    <col min="1798" max="1798" width="2.85546875" customWidth="1"/>
    <col min="1799" max="1799" width="1" customWidth="1"/>
    <col min="1800" max="1800" width="8" customWidth="1"/>
    <col min="1801" max="1801" width="2.28515625" customWidth="1"/>
    <col min="1802" max="1802" width="2.140625" customWidth="1"/>
    <col min="1803" max="1803" width="9.28515625" customWidth="1"/>
    <col min="1804" max="1804" width="4" customWidth="1"/>
    <col min="1805" max="1805" width="2.85546875" customWidth="1"/>
    <col min="1806" max="1806" width="12.5703125" customWidth="1"/>
    <col min="1807" max="1807" width="1" customWidth="1"/>
    <col min="1808" max="1808" width="1.140625" customWidth="1"/>
    <col min="1809" max="1809" width="2.85546875" customWidth="1"/>
    <col min="1810" max="1810" width="9.85546875" customWidth="1"/>
    <col min="1811" max="2042" width="6.85546875" customWidth="1"/>
    <col min="2043" max="2043" width="3.140625" customWidth="1"/>
    <col min="2044" max="2044" width="21.140625" customWidth="1"/>
    <col min="2045" max="2045" width="7.42578125" customWidth="1"/>
    <col min="2046" max="2046" width="1.42578125" customWidth="1"/>
    <col min="2047" max="2047" width="11.85546875" customWidth="1"/>
    <col min="2048" max="2048" width="2.28515625" customWidth="1"/>
    <col min="2049" max="2049" width="11.28515625" customWidth="1"/>
    <col min="2050" max="2050" width="2" customWidth="1"/>
    <col min="2051" max="2051" width="12.85546875" customWidth="1"/>
    <col min="2052" max="2052" width="1.42578125" customWidth="1"/>
    <col min="2053" max="2053" width="11.5703125" customWidth="1"/>
    <col min="2054" max="2054" width="2.85546875" customWidth="1"/>
    <col min="2055" max="2055" width="1" customWidth="1"/>
    <col min="2056" max="2056" width="8" customWidth="1"/>
    <col min="2057" max="2057" width="2.28515625" customWidth="1"/>
    <col min="2058" max="2058" width="2.140625" customWidth="1"/>
    <col min="2059" max="2059" width="9.28515625" customWidth="1"/>
    <col min="2060" max="2060" width="4" customWidth="1"/>
    <col min="2061" max="2061" width="2.85546875" customWidth="1"/>
    <col min="2062" max="2062" width="12.5703125" customWidth="1"/>
    <col min="2063" max="2063" width="1" customWidth="1"/>
    <col min="2064" max="2064" width="1.140625" customWidth="1"/>
    <col min="2065" max="2065" width="2.85546875" customWidth="1"/>
    <col min="2066" max="2066" width="9.85546875" customWidth="1"/>
    <col min="2067" max="2298" width="6.85546875" customWidth="1"/>
    <col min="2299" max="2299" width="3.140625" customWidth="1"/>
    <col min="2300" max="2300" width="21.140625" customWidth="1"/>
    <col min="2301" max="2301" width="7.42578125" customWidth="1"/>
    <col min="2302" max="2302" width="1.42578125" customWidth="1"/>
    <col min="2303" max="2303" width="11.85546875" customWidth="1"/>
    <col min="2304" max="2304" width="2.28515625" customWidth="1"/>
    <col min="2305" max="2305" width="11.28515625" customWidth="1"/>
    <col min="2306" max="2306" width="2" customWidth="1"/>
    <col min="2307" max="2307" width="12.85546875" customWidth="1"/>
    <col min="2308" max="2308" width="1.42578125" customWidth="1"/>
    <col min="2309" max="2309" width="11.5703125" customWidth="1"/>
    <col min="2310" max="2310" width="2.85546875" customWidth="1"/>
    <col min="2311" max="2311" width="1" customWidth="1"/>
    <col min="2312" max="2312" width="8" customWidth="1"/>
    <col min="2313" max="2313" width="2.28515625" customWidth="1"/>
    <col min="2314" max="2314" width="2.140625" customWidth="1"/>
    <col min="2315" max="2315" width="9.28515625" customWidth="1"/>
    <col min="2316" max="2316" width="4" customWidth="1"/>
    <col min="2317" max="2317" width="2.85546875" customWidth="1"/>
    <col min="2318" max="2318" width="12.5703125" customWidth="1"/>
    <col min="2319" max="2319" width="1" customWidth="1"/>
    <col min="2320" max="2320" width="1.140625" customWidth="1"/>
    <col min="2321" max="2321" width="2.85546875" customWidth="1"/>
    <col min="2322" max="2322" width="9.85546875" customWidth="1"/>
    <col min="2323" max="2554" width="6.85546875" customWidth="1"/>
    <col min="2555" max="2555" width="3.140625" customWidth="1"/>
    <col min="2556" max="2556" width="21.140625" customWidth="1"/>
    <col min="2557" max="2557" width="7.42578125" customWidth="1"/>
    <col min="2558" max="2558" width="1.42578125" customWidth="1"/>
    <col min="2559" max="2559" width="11.85546875" customWidth="1"/>
    <col min="2560" max="2560" width="2.28515625" customWidth="1"/>
    <col min="2561" max="2561" width="11.28515625" customWidth="1"/>
    <col min="2562" max="2562" width="2" customWidth="1"/>
    <col min="2563" max="2563" width="12.85546875" customWidth="1"/>
    <col min="2564" max="2564" width="1.42578125" customWidth="1"/>
    <col min="2565" max="2565" width="11.5703125" customWidth="1"/>
    <col min="2566" max="2566" width="2.85546875" customWidth="1"/>
    <col min="2567" max="2567" width="1" customWidth="1"/>
    <col min="2568" max="2568" width="8" customWidth="1"/>
    <col min="2569" max="2569" width="2.28515625" customWidth="1"/>
    <col min="2570" max="2570" width="2.140625" customWidth="1"/>
    <col min="2571" max="2571" width="9.28515625" customWidth="1"/>
    <col min="2572" max="2572" width="4" customWidth="1"/>
    <col min="2573" max="2573" width="2.85546875" customWidth="1"/>
    <col min="2574" max="2574" width="12.5703125" customWidth="1"/>
    <col min="2575" max="2575" width="1" customWidth="1"/>
    <col min="2576" max="2576" width="1.140625" customWidth="1"/>
    <col min="2577" max="2577" width="2.85546875" customWidth="1"/>
    <col min="2578" max="2578" width="9.85546875" customWidth="1"/>
    <col min="2579" max="2810" width="6.85546875" customWidth="1"/>
    <col min="2811" max="2811" width="3.140625" customWidth="1"/>
    <col min="2812" max="2812" width="21.140625" customWidth="1"/>
    <col min="2813" max="2813" width="7.42578125" customWidth="1"/>
    <col min="2814" max="2814" width="1.42578125" customWidth="1"/>
    <col min="2815" max="2815" width="11.85546875" customWidth="1"/>
    <col min="2816" max="2816" width="2.28515625" customWidth="1"/>
    <col min="2817" max="2817" width="11.28515625" customWidth="1"/>
    <col min="2818" max="2818" width="2" customWidth="1"/>
    <col min="2819" max="2819" width="12.85546875" customWidth="1"/>
    <col min="2820" max="2820" width="1.42578125" customWidth="1"/>
    <col min="2821" max="2821" width="11.5703125" customWidth="1"/>
    <col min="2822" max="2822" width="2.85546875" customWidth="1"/>
    <col min="2823" max="2823" width="1" customWidth="1"/>
    <col min="2824" max="2824" width="8" customWidth="1"/>
    <col min="2825" max="2825" width="2.28515625" customWidth="1"/>
    <col min="2826" max="2826" width="2.140625" customWidth="1"/>
    <col min="2827" max="2827" width="9.28515625" customWidth="1"/>
    <col min="2828" max="2828" width="4" customWidth="1"/>
    <col min="2829" max="2829" width="2.85546875" customWidth="1"/>
    <col min="2830" max="2830" width="12.5703125" customWidth="1"/>
    <col min="2831" max="2831" width="1" customWidth="1"/>
    <col min="2832" max="2832" width="1.140625" customWidth="1"/>
    <col min="2833" max="2833" width="2.85546875" customWidth="1"/>
    <col min="2834" max="2834" width="9.85546875" customWidth="1"/>
    <col min="2835" max="3066" width="6.85546875" customWidth="1"/>
    <col min="3067" max="3067" width="3.140625" customWidth="1"/>
    <col min="3068" max="3068" width="21.140625" customWidth="1"/>
    <col min="3069" max="3069" width="7.42578125" customWidth="1"/>
    <col min="3070" max="3070" width="1.42578125" customWidth="1"/>
    <col min="3071" max="3071" width="11.85546875" customWidth="1"/>
    <col min="3072" max="3072" width="2.28515625" customWidth="1"/>
    <col min="3073" max="3073" width="11.28515625" customWidth="1"/>
    <col min="3074" max="3074" width="2" customWidth="1"/>
    <col min="3075" max="3075" width="12.85546875" customWidth="1"/>
    <col min="3076" max="3076" width="1.42578125" customWidth="1"/>
    <col min="3077" max="3077" width="11.5703125" customWidth="1"/>
    <col min="3078" max="3078" width="2.85546875" customWidth="1"/>
    <col min="3079" max="3079" width="1" customWidth="1"/>
    <col min="3080" max="3080" width="8" customWidth="1"/>
    <col min="3081" max="3081" width="2.28515625" customWidth="1"/>
    <col min="3082" max="3082" width="2.140625" customWidth="1"/>
    <col min="3083" max="3083" width="9.28515625" customWidth="1"/>
    <col min="3084" max="3084" width="4" customWidth="1"/>
    <col min="3085" max="3085" width="2.85546875" customWidth="1"/>
    <col min="3086" max="3086" width="12.5703125" customWidth="1"/>
    <col min="3087" max="3087" width="1" customWidth="1"/>
    <col min="3088" max="3088" width="1.140625" customWidth="1"/>
    <col min="3089" max="3089" width="2.85546875" customWidth="1"/>
    <col min="3090" max="3090" width="9.85546875" customWidth="1"/>
    <col min="3091" max="3322" width="6.85546875" customWidth="1"/>
    <col min="3323" max="3323" width="3.140625" customWidth="1"/>
    <col min="3324" max="3324" width="21.140625" customWidth="1"/>
    <col min="3325" max="3325" width="7.42578125" customWidth="1"/>
    <col min="3326" max="3326" width="1.42578125" customWidth="1"/>
    <col min="3327" max="3327" width="11.85546875" customWidth="1"/>
    <col min="3328" max="3328" width="2.28515625" customWidth="1"/>
    <col min="3329" max="3329" width="11.28515625" customWidth="1"/>
    <col min="3330" max="3330" width="2" customWidth="1"/>
    <col min="3331" max="3331" width="12.85546875" customWidth="1"/>
    <col min="3332" max="3332" width="1.42578125" customWidth="1"/>
    <col min="3333" max="3333" width="11.5703125" customWidth="1"/>
    <col min="3334" max="3334" width="2.85546875" customWidth="1"/>
    <col min="3335" max="3335" width="1" customWidth="1"/>
    <col min="3336" max="3336" width="8" customWidth="1"/>
    <col min="3337" max="3337" width="2.28515625" customWidth="1"/>
    <col min="3338" max="3338" width="2.140625" customWidth="1"/>
    <col min="3339" max="3339" width="9.28515625" customWidth="1"/>
    <col min="3340" max="3340" width="4" customWidth="1"/>
    <col min="3341" max="3341" width="2.85546875" customWidth="1"/>
    <col min="3342" max="3342" width="12.5703125" customWidth="1"/>
    <col min="3343" max="3343" width="1" customWidth="1"/>
    <col min="3344" max="3344" width="1.140625" customWidth="1"/>
    <col min="3345" max="3345" width="2.85546875" customWidth="1"/>
    <col min="3346" max="3346" width="9.85546875" customWidth="1"/>
    <col min="3347" max="3578" width="6.85546875" customWidth="1"/>
    <col min="3579" max="3579" width="3.140625" customWidth="1"/>
    <col min="3580" max="3580" width="21.140625" customWidth="1"/>
    <col min="3581" max="3581" width="7.42578125" customWidth="1"/>
    <col min="3582" max="3582" width="1.42578125" customWidth="1"/>
    <col min="3583" max="3583" width="11.85546875" customWidth="1"/>
    <col min="3584" max="3584" width="2.28515625" customWidth="1"/>
    <col min="3585" max="3585" width="11.28515625" customWidth="1"/>
    <col min="3586" max="3586" width="2" customWidth="1"/>
    <col min="3587" max="3587" width="12.85546875" customWidth="1"/>
    <col min="3588" max="3588" width="1.42578125" customWidth="1"/>
    <col min="3589" max="3589" width="11.5703125" customWidth="1"/>
    <col min="3590" max="3590" width="2.85546875" customWidth="1"/>
    <col min="3591" max="3591" width="1" customWidth="1"/>
    <col min="3592" max="3592" width="8" customWidth="1"/>
    <col min="3593" max="3593" width="2.28515625" customWidth="1"/>
    <col min="3594" max="3594" width="2.140625" customWidth="1"/>
    <col min="3595" max="3595" width="9.28515625" customWidth="1"/>
    <col min="3596" max="3596" width="4" customWidth="1"/>
    <col min="3597" max="3597" width="2.85546875" customWidth="1"/>
    <col min="3598" max="3598" width="12.5703125" customWidth="1"/>
    <col min="3599" max="3599" width="1" customWidth="1"/>
    <col min="3600" max="3600" width="1.140625" customWidth="1"/>
    <col min="3601" max="3601" width="2.85546875" customWidth="1"/>
    <col min="3602" max="3602" width="9.85546875" customWidth="1"/>
    <col min="3603" max="3834" width="6.85546875" customWidth="1"/>
    <col min="3835" max="3835" width="3.140625" customWidth="1"/>
    <col min="3836" max="3836" width="21.140625" customWidth="1"/>
    <col min="3837" max="3837" width="7.42578125" customWidth="1"/>
    <col min="3838" max="3838" width="1.42578125" customWidth="1"/>
    <col min="3839" max="3839" width="11.85546875" customWidth="1"/>
    <col min="3840" max="3840" width="2.28515625" customWidth="1"/>
    <col min="3841" max="3841" width="11.28515625" customWidth="1"/>
    <col min="3842" max="3842" width="2" customWidth="1"/>
    <col min="3843" max="3843" width="12.85546875" customWidth="1"/>
    <col min="3844" max="3844" width="1.42578125" customWidth="1"/>
    <col min="3845" max="3845" width="11.5703125" customWidth="1"/>
    <col min="3846" max="3846" width="2.85546875" customWidth="1"/>
    <col min="3847" max="3847" width="1" customWidth="1"/>
    <col min="3848" max="3848" width="8" customWidth="1"/>
    <col min="3849" max="3849" width="2.28515625" customWidth="1"/>
    <col min="3850" max="3850" width="2.140625" customWidth="1"/>
    <col min="3851" max="3851" width="9.28515625" customWidth="1"/>
    <col min="3852" max="3852" width="4" customWidth="1"/>
    <col min="3853" max="3853" width="2.85546875" customWidth="1"/>
    <col min="3854" max="3854" width="12.5703125" customWidth="1"/>
    <col min="3855" max="3855" width="1" customWidth="1"/>
    <col min="3856" max="3856" width="1.140625" customWidth="1"/>
    <col min="3857" max="3857" width="2.85546875" customWidth="1"/>
    <col min="3858" max="3858" width="9.85546875" customWidth="1"/>
    <col min="3859" max="4090" width="6.85546875" customWidth="1"/>
    <col min="4091" max="4091" width="3.140625" customWidth="1"/>
    <col min="4092" max="4092" width="21.140625" customWidth="1"/>
    <col min="4093" max="4093" width="7.42578125" customWidth="1"/>
    <col min="4094" max="4094" width="1.42578125" customWidth="1"/>
    <col min="4095" max="4095" width="11.85546875" customWidth="1"/>
    <col min="4096" max="4096" width="2.28515625" customWidth="1"/>
    <col min="4097" max="4097" width="11.28515625" customWidth="1"/>
    <col min="4098" max="4098" width="2" customWidth="1"/>
    <col min="4099" max="4099" width="12.85546875" customWidth="1"/>
    <col min="4100" max="4100" width="1.42578125" customWidth="1"/>
    <col min="4101" max="4101" width="11.5703125" customWidth="1"/>
    <col min="4102" max="4102" width="2.85546875" customWidth="1"/>
    <col min="4103" max="4103" width="1" customWidth="1"/>
    <col min="4104" max="4104" width="8" customWidth="1"/>
    <col min="4105" max="4105" width="2.28515625" customWidth="1"/>
    <col min="4106" max="4106" width="2.140625" customWidth="1"/>
    <col min="4107" max="4107" width="9.28515625" customWidth="1"/>
    <col min="4108" max="4108" width="4" customWidth="1"/>
    <col min="4109" max="4109" width="2.85546875" customWidth="1"/>
    <col min="4110" max="4110" width="12.5703125" customWidth="1"/>
    <col min="4111" max="4111" width="1" customWidth="1"/>
    <col min="4112" max="4112" width="1.140625" customWidth="1"/>
    <col min="4113" max="4113" width="2.85546875" customWidth="1"/>
    <col min="4114" max="4114" width="9.85546875" customWidth="1"/>
    <col min="4115" max="4346" width="6.85546875" customWidth="1"/>
    <col min="4347" max="4347" width="3.140625" customWidth="1"/>
    <col min="4348" max="4348" width="21.140625" customWidth="1"/>
    <col min="4349" max="4349" width="7.42578125" customWidth="1"/>
    <col min="4350" max="4350" width="1.42578125" customWidth="1"/>
    <col min="4351" max="4351" width="11.85546875" customWidth="1"/>
    <col min="4352" max="4352" width="2.28515625" customWidth="1"/>
    <col min="4353" max="4353" width="11.28515625" customWidth="1"/>
    <col min="4354" max="4354" width="2" customWidth="1"/>
    <col min="4355" max="4355" width="12.85546875" customWidth="1"/>
    <col min="4356" max="4356" width="1.42578125" customWidth="1"/>
    <col min="4357" max="4357" width="11.5703125" customWidth="1"/>
    <col min="4358" max="4358" width="2.85546875" customWidth="1"/>
    <col min="4359" max="4359" width="1" customWidth="1"/>
    <col min="4360" max="4360" width="8" customWidth="1"/>
    <col min="4361" max="4361" width="2.28515625" customWidth="1"/>
    <col min="4362" max="4362" width="2.140625" customWidth="1"/>
    <col min="4363" max="4363" width="9.28515625" customWidth="1"/>
    <col min="4364" max="4364" width="4" customWidth="1"/>
    <col min="4365" max="4365" width="2.85546875" customWidth="1"/>
    <col min="4366" max="4366" width="12.5703125" customWidth="1"/>
    <col min="4367" max="4367" width="1" customWidth="1"/>
    <col min="4368" max="4368" width="1.140625" customWidth="1"/>
    <col min="4369" max="4369" width="2.85546875" customWidth="1"/>
    <col min="4370" max="4370" width="9.85546875" customWidth="1"/>
    <col min="4371" max="4602" width="6.85546875" customWidth="1"/>
    <col min="4603" max="4603" width="3.140625" customWidth="1"/>
    <col min="4604" max="4604" width="21.140625" customWidth="1"/>
    <col min="4605" max="4605" width="7.42578125" customWidth="1"/>
    <col min="4606" max="4606" width="1.42578125" customWidth="1"/>
    <col min="4607" max="4607" width="11.85546875" customWidth="1"/>
    <col min="4608" max="4608" width="2.28515625" customWidth="1"/>
    <col min="4609" max="4609" width="11.28515625" customWidth="1"/>
    <col min="4610" max="4610" width="2" customWidth="1"/>
    <col min="4611" max="4611" width="12.85546875" customWidth="1"/>
    <col min="4612" max="4612" width="1.42578125" customWidth="1"/>
    <col min="4613" max="4613" width="11.5703125" customWidth="1"/>
    <col min="4614" max="4614" width="2.85546875" customWidth="1"/>
    <col min="4615" max="4615" width="1" customWidth="1"/>
    <col min="4616" max="4616" width="8" customWidth="1"/>
    <col min="4617" max="4617" width="2.28515625" customWidth="1"/>
    <col min="4618" max="4618" width="2.140625" customWidth="1"/>
    <col min="4619" max="4619" width="9.28515625" customWidth="1"/>
    <col min="4620" max="4620" width="4" customWidth="1"/>
    <col min="4621" max="4621" width="2.85546875" customWidth="1"/>
    <col min="4622" max="4622" width="12.5703125" customWidth="1"/>
    <col min="4623" max="4623" width="1" customWidth="1"/>
    <col min="4624" max="4624" width="1.140625" customWidth="1"/>
    <col min="4625" max="4625" width="2.85546875" customWidth="1"/>
    <col min="4626" max="4626" width="9.85546875" customWidth="1"/>
    <col min="4627" max="4858" width="6.85546875" customWidth="1"/>
    <col min="4859" max="4859" width="3.140625" customWidth="1"/>
    <col min="4860" max="4860" width="21.140625" customWidth="1"/>
    <col min="4861" max="4861" width="7.42578125" customWidth="1"/>
    <col min="4862" max="4862" width="1.42578125" customWidth="1"/>
    <col min="4863" max="4863" width="11.85546875" customWidth="1"/>
    <col min="4864" max="4864" width="2.28515625" customWidth="1"/>
    <col min="4865" max="4865" width="11.28515625" customWidth="1"/>
    <col min="4866" max="4866" width="2" customWidth="1"/>
    <col min="4867" max="4867" width="12.85546875" customWidth="1"/>
    <col min="4868" max="4868" width="1.42578125" customWidth="1"/>
    <col min="4869" max="4869" width="11.5703125" customWidth="1"/>
    <col min="4870" max="4870" width="2.85546875" customWidth="1"/>
    <col min="4871" max="4871" width="1" customWidth="1"/>
    <col min="4872" max="4872" width="8" customWidth="1"/>
    <col min="4873" max="4873" width="2.28515625" customWidth="1"/>
    <col min="4874" max="4874" width="2.140625" customWidth="1"/>
    <col min="4875" max="4875" width="9.28515625" customWidth="1"/>
    <col min="4876" max="4876" width="4" customWidth="1"/>
    <col min="4877" max="4877" width="2.85546875" customWidth="1"/>
    <col min="4878" max="4878" width="12.5703125" customWidth="1"/>
    <col min="4879" max="4879" width="1" customWidth="1"/>
    <col min="4880" max="4880" width="1.140625" customWidth="1"/>
    <col min="4881" max="4881" width="2.85546875" customWidth="1"/>
    <col min="4882" max="4882" width="9.85546875" customWidth="1"/>
    <col min="4883" max="5114" width="6.85546875" customWidth="1"/>
    <col min="5115" max="5115" width="3.140625" customWidth="1"/>
    <col min="5116" max="5116" width="21.140625" customWidth="1"/>
    <col min="5117" max="5117" width="7.42578125" customWidth="1"/>
    <col min="5118" max="5118" width="1.42578125" customWidth="1"/>
    <col min="5119" max="5119" width="11.85546875" customWidth="1"/>
    <col min="5120" max="5120" width="2.28515625" customWidth="1"/>
    <col min="5121" max="5121" width="11.28515625" customWidth="1"/>
    <col min="5122" max="5122" width="2" customWidth="1"/>
    <col min="5123" max="5123" width="12.85546875" customWidth="1"/>
    <col min="5124" max="5124" width="1.42578125" customWidth="1"/>
    <col min="5125" max="5125" width="11.5703125" customWidth="1"/>
    <col min="5126" max="5126" width="2.85546875" customWidth="1"/>
    <col min="5127" max="5127" width="1" customWidth="1"/>
    <col min="5128" max="5128" width="8" customWidth="1"/>
    <col min="5129" max="5129" width="2.28515625" customWidth="1"/>
    <col min="5130" max="5130" width="2.140625" customWidth="1"/>
    <col min="5131" max="5131" width="9.28515625" customWidth="1"/>
    <col min="5132" max="5132" width="4" customWidth="1"/>
    <col min="5133" max="5133" width="2.85546875" customWidth="1"/>
    <col min="5134" max="5134" width="12.5703125" customWidth="1"/>
    <col min="5135" max="5135" width="1" customWidth="1"/>
    <col min="5136" max="5136" width="1.140625" customWidth="1"/>
    <col min="5137" max="5137" width="2.85546875" customWidth="1"/>
    <col min="5138" max="5138" width="9.85546875" customWidth="1"/>
    <col min="5139" max="5370" width="6.85546875" customWidth="1"/>
    <col min="5371" max="5371" width="3.140625" customWidth="1"/>
    <col min="5372" max="5372" width="21.140625" customWidth="1"/>
    <col min="5373" max="5373" width="7.42578125" customWidth="1"/>
    <col min="5374" max="5374" width="1.42578125" customWidth="1"/>
    <col min="5375" max="5375" width="11.85546875" customWidth="1"/>
    <col min="5376" max="5376" width="2.28515625" customWidth="1"/>
    <col min="5377" max="5377" width="11.28515625" customWidth="1"/>
    <col min="5378" max="5378" width="2" customWidth="1"/>
    <col min="5379" max="5379" width="12.85546875" customWidth="1"/>
    <col min="5380" max="5380" width="1.42578125" customWidth="1"/>
    <col min="5381" max="5381" width="11.5703125" customWidth="1"/>
    <col min="5382" max="5382" width="2.85546875" customWidth="1"/>
    <col min="5383" max="5383" width="1" customWidth="1"/>
    <col min="5384" max="5384" width="8" customWidth="1"/>
    <col min="5385" max="5385" width="2.28515625" customWidth="1"/>
    <col min="5386" max="5386" width="2.140625" customWidth="1"/>
    <col min="5387" max="5387" width="9.28515625" customWidth="1"/>
    <col min="5388" max="5388" width="4" customWidth="1"/>
    <col min="5389" max="5389" width="2.85546875" customWidth="1"/>
    <col min="5390" max="5390" width="12.5703125" customWidth="1"/>
    <col min="5391" max="5391" width="1" customWidth="1"/>
    <col min="5392" max="5392" width="1.140625" customWidth="1"/>
    <col min="5393" max="5393" width="2.85546875" customWidth="1"/>
    <col min="5394" max="5394" width="9.85546875" customWidth="1"/>
    <col min="5395" max="5626" width="6.85546875" customWidth="1"/>
    <col min="5627" max="5627" width="3.140625" customWidth="1"/>
    <col min="5628" max="5628" width="21.140625" customWidth="1"/>
    <col min="5629" max="5629" width="7.42578125" customWidth="1"/>
    <col min="5630" max="5630" width="1.42578125" customWidth="1"/>
    <col min="5631" max="5631" width="11.85546875" customWidth="1"/>
    <col min="5632" max="5632" width="2.28515625" customWidth="1"/>
    <col min="5633" max="5633" width="11.28515625" customWidth="1"/>
    <col min="5634" max="5634" width="2" customWidth="1"/>
    <col min="5635" max="5635" width="12.85546875" customWidth="1"/>
    <col min="5636" max="5636" width="1.42578125" customWidth="1"/>
    <col min="5637" max="5637" width="11.5703125" customWidth="1"/>
    <col min="5638" max="5638" width="2.85546875" customWidth="1"/>
    <col min="5639" max="5639" width="1" customWidth="1"/>
    <col min="5640" max="5640" width="8" customWidth="1"/>
    <col min="5641" max="5641" width="2.28515625" customWidth="1"/>
    <col min="5642" max="5642" width="2.140625" customWidth="1"/>
    <col min="5643" max="5643" width="9.28515625" customWidth="1"/>
    <col min="5644" max="5644" width="4" customWidth="1"/>
    <col min="5645" max="5645" width="2.85546875" customWidth="1"/>
    <col min="5646" max="5646" width="12.5703125" customWidth="1"/>
    <col min="5647" max="5647" width="1" customWidth="1"/>
    <col min="5648" max="5648" width="1.140625" customWidth="1"/>
    <col min="5649" max="5649" width="2.85546875" customWidth="1"/>
    <col min="5650" max="5650" width="9.85546875" customWidth="1"/>
    <col min="5651" max="5882" width="6.85546875" customWidth="1"/>
    <col min="5883" max="5883" width="3.140625" customWidth="1"/>
    <col min="5884" max="5884" width="21.140625" customWidth="1"/>
    <col min="5885" max="5885" width="7.42578125" customWidth="1"/>
    <col min="5886" max="5886" width="1.42578125" customWidth="1"/>
    <col min="5887" max="5887" width="11.85546875" customWidth="1"/>
    <col min="5888" max="5888" width="2.28515625" customWidth="1"/>
    <col min="5889" max="5889" width="11.28515625" customWidth="1"/>
    <col min="5890" max="5890" width="2" customWidth="1"/>
    <col min="5891" max="5891" width="12.85546875" customWidth="1"/>
    <col min="5892" max="5892" width="1.42578125" customWidth="1"/>
    <col min="5893" max="5893" width="11.5703125" customWidth="1"/>
    <col min="5894" max="5894" width="2.85546875" customWidth="1"/>
    <col min="5895" max="5895" width="1" customWidth="1"/>
    <col min="5896" max="5896" width="8" customWidth="1"/>
    <col min="5897" max="5897" width="2.28515625" customWidth="1"/>
    <col min="5898" max="5898" width="2.140625" customWidth="1"/>
    <col min="5899" max="5899" width="9.28515625" customWidth="1"/>
    <col min="5900" max="5900" width="4" customWidth="1"/>
    <col min="5901" max="5901" width="2.85546875" customWidth="1"/>
    <col min="5902" max="5902" width="12.5703125" customWidth="1"/>
    <col min="5903" max="5903" width="1" customWidth="1"/>
    <col min="5904" max="5904" width="1.140625" customWidth="1"/>
    <col min="5905" max="5905" width="2.85546875" customWidth="1"/>
    <col min="5906" max="5906" width="9.85546875" customWidth="1"/>
    <col min="5907" max="6138" width="6.85546875" customWidth="1"/>
    <col min="6139" max="6139" width="3.140625" customWidth="1"/>
    <col min="6140" max="6140" width="21.140625" customWidth="1"/>
    <col min="6141" max="6141" width="7.42578125" customWidth="1"/>
    <col min="6142" max="6142" width="1.42578125" customWidth="1"/>
    <col min="6143" max="6143" width="11.85546875" customWidth="1"/>
    <col min="6144" max="6144" width="2.28515625" customWidth="1"/>
    <col min="6145" max="6145" width="11.28515625" customWidth="1"/>
    <col min="6146" max="6146" width="2" customWidth="1"/>
    <col min="6147" max="6147" width="12.85546875" customWidth="1"/>
    <col min="6148" max="6148" width="1.42578125" customWidth="1"/>
    <col min="6149" max="6149" width="11.5703125" customWidth="1"/>
    <col min="6150" max="6150" width="2.85546875" customWidth="1"/>
    <col min="6151" max="6151" width="1" customWidth="1"/>
    <col min="6152" max="6152" width="8" customWidth="1"/>
    <col min="6153" max="6153" width="2.28515625" customWidth="1"/>
    <col min="6154" max="6154" width="2.140625" customWidth="1"/>
    <col min="6155" max="6155" width="9.28515625" customWidth="1"/>
    <col min="6156" max="6156" width="4" customWidth="1"/>
    <col min="6157" max="6157" width="2.85546875" customWidth="1"/>
    <col min="6158" max="6158" width="12.5703125" customWidth="1"/>
    <col min="6159" max="6159" width="1" customWidth="1"/>
    <col min="6160" max="6160" width="1.140625" customWidth="1"/>
    <col min="6161" max="6161" width="2.85546875" customWidth="1"/>
    <col min="6162" max="6162" width="9.85546875" customWidth="1"/>
    <col min="6163" max="6394" width="6.85546875" customWidth="1"/>
    <col min="6395" max="6395" width="3.140625" customWidth="1"/>
    <col min="6396" max="6396" width="21.140625" customWidth="1"/>
    <col min="6397" max="6397" width="7.42578125" customWidth="1"/>
    <col min="6398" max="6398" width="1.42578125" customWidth="1"/>
    <col min="6399" max="6399" width="11.85546875" customWidth="1"/>
    <col min="6400" max="6400" width="2.28515625" customWidth="1"/>
    <col min="6401" max="6401" width="11.28515625" customWidth="1"/>
    <col min="6402" max="6402" width="2" customWidth="1"/>
    <col min="6403" max="6403" width="12.85546875" customWidth="1"/>
    <col min="6404" max="6404" width="1.42578125" customWidth="1"/>
    <col min="6405" max="6405" width="11.5703125" customWidth="1"/>
    <col min="6406" max="6406" width="2.85546875" customWidth="1"/>
    <col min="6407" max="6407" width="1" customWidth="1"/>
    <col min="6408" max="6408" width="8" customWidth="1"/>
    <col min="6409" max="6409" width="2.28515625" customWidth="1"/>
    <col min="6410" max="6410" width="2.140625" customWidth="1"/>
    <col min="6411" max="6411" width="9.28515625" customWidth="1"/>
    <col min="6412" max="6412" width="4" customWidth="1"/>
    <col min="6413" max="6413" width="2.85546875" customWidth="1"/>
    <col min="6414" max="6414" width="12.5703125" customWidth="1"/>
    <col min="6415" max="6415" width="1" customWidth="1"/>
    <col min="6416" max="6416" width="1.140625" customWidth="1"/>
    <col min="6417" max="6417" width="2.85546875" customWidth="1"/>
    <col min="6418" max="6418" width="9.85546875" customWidth="1"/>
    <col min="6419" max="6650" width="6.85546875" customWidth="1"/>
    <col min="6651" max="6651" width="3.140625" customWidth="1"/>
    <col min="6652" max="6652" width="21.140625" customWidth="1"/>
    <col min="6653" max="6653" width="7.42578125" customWidth="1"/>
    <col min="6654" max="6654" width="1.42578125" customWidth="1"/>
    <col min="6655" max="6655" width="11.85546875" customWidth="1"/>
    <col min="6656" max="6656" width="2.28515625" customWidth="1"/>
    <col min="6657" max="6657" width="11.28515625" customWidth="1"/>
    <col min="6658" max="6658" width="2" customWidth="1"/>
    <col min="6659" max="6659" width="12.85546875" customWidth="1"/>
    <col min="6660" max="6660" width="1.42578125" customWidth="1"/>
    <col min="6661" max="6661" width="11.5703125" customWidth="1"/>
    <col min="6662" max="6662" width="2.85546875" customWidth="1"/>
    <col min="6663" max="6663" width="1" customWidth="1"/>
    <col min="6664" max="6664" width="8" customWidth="1"/>
    <col min="6665" max="6665" width="2.28515625" customWidth="1"/>
    <col min="6666" max="6666" width="2.140625" customWidth="1"/>
    <col min="6667" max="6667" width="9.28515625" customWidth="1"/>
    <col min="6668" max="6668" width="4" customWidth="1"/>
    <col min="6669" max="6669" width="2.85546875" customWidth="1"/>
    <col min="6670" max="6670" width="12.5703125" customWidth="1"/>
    <col min="6671" max="6671" width="1" customWidth="1"/>
    <col min="6672" max="6672" width="1.140625" customWidth="1"/>
    <col min="6673" max="6673" width="2.85546875" customWidth="1"/>
    <col min="6674" max="6674" width="9.85546875" customWidth="1"/>
    <col min="6675" max="6906" width="6.85546875" customWidth="1"/>
    <col min="6907" max="6907" width="3.140625" customWidth="1"/>
    <col min="6908" max="6908" width="21.140625" customWidth="1"/>
    <col min="6909" max="6909" width="7.42578125" customWidth="1"/>
    <col min="6910" max="6910" width="1.42578125" customWidth="1"/>
    <col min="6911" max="6911" width="11.85546875" customWidth="1"/>
    <col min="6912" max="6912" width="2.28515625" customWidth="1"/>
    <col min="6913" max="6913" width="11.28515625" customWidth="1"/>
    <col min="6914" max="6914" width="2" customWidth="1"/>
    <col min="6915" max="6915" width="12.85546875" customWidth="1"/>
    <col min="6916" max="6916" width="1.42578125" customWidth="1"/>
    <col min="6917" max="6917" width="11.5703125" customWidth="1"/>
    <col min="6918" max="6918" width="2.85546875" customWidth="1"/>
    <col min="6919" max="6919" width="1" customWidth="1"/>
    <col min="6920" max="6920" width="8" customWidth="1"/>
    <col min="6921" max="6921" width="2.28515625" customWidth="1"/>
    <col min="6922" max="6922" width="2.140625" customWidth="1"/>
    <col min="6923" max="6923" width="9.28515625" customWidth="1"/>
    <col min="6924" max="6924" width="4" customWidth="1"/>
    <col min="6925" max="6925" width="2.85546875" customWidth="1"/>
    <col min="6926" max="6926" width="12.5703125" customWidth="1"/>
    <col min="6927" max="6927" width="1" customWidth="1"/>
    <col min="6928" max="6928" width="1.140625" customWidth="1"/>
    <col min="6929" max="6929" width="2.85546875" customWidth="1"/>
    <col min="6930" max="6930" width="9.85546875" customWidth="1"/>
    <col min="6931" max="7162" width="6.85546875" customWidth="1"/>
    <col min="7163" max="7163" width="3.140625" customWidth="1"/>
    <col min="7164" max="7164" width="21.140625" customWidth="1"/>
    <col min="7165" max="7165" width="7.42578125" customWidth="1"/>
    <col min="7166" max="7166" width="1.42578125" customWidth="1"/>
    <col min="7167" max="7167" width="11.85546875" customWidth="1"/>
    <col min="7168" max="7168" width="2.28515625" customWidth="1"/>
    <col min="7169" max="7169" width="11.28515625" customWidth="1"/>
    <col min="7170" max="7170" width="2" customWidth="1"/>
    <col min="7171" max="7171" width="12.85546875" customWidth="1"/>
    <col min="7172" max="7172" width="1.42578125" customWidth="1"/>
    <col min="7173" max="7173" width="11.5703125" customWidth="1"/>
    <col min="7174" max="7174" width="2.85546875" customWidth="1"/>
    <col min="7175" max="7175" width="1" customWidth="1"/>
    <col min="7176" max="7176" width="8" customWidth="1"/>
    <col min="7177" max="7177" width="2.28515625" customWidth="1"/>
    <col min="7178" max="7178" width="2.140625" customWidth="1"/>
    <col min="7179" max="7179" width="9.28515625" customWidth="1"/>
    <col min="7180" max="7180" width="4" customWidth="1"/>
    <col min="7181" max="7181" width="2.85546875" customWidth="1"/>
    <col min="7182" max="7182" width="12.5703125" customWidth="1"/>
    <col min="7183" max="7183" width="1" customWidth="1"/>
    <col min="7184" max="7184" width="1.140625" customWidth="1"/>
    <col min="7185" max="7185" width="2.85546875" customWidth="1"/>
    <col min="7186" max="7186" width="9.85546875" customWidth="1"/>
    <col min="7187" max="7418" width="6.85546875" customWidth="1"/>
    <col min="7419" max="7419" width="3.140625" customWidth="1"/>
    <col min="7420" max="7420" width="21.140625" customWidth="1"/>
    <col min="7421" max="7421" width="7.42578125" customWidth="1"/>
    <col min="7422" max="7422" width="1.42578125" customWidth="1"/>
    <col min="7423" max="7423" width="11.85546875" customWidth="1"/>
    <col min="7424" max="7424" width="2.28515625" customWidth="1"/>
    <col min="7425" max="7425" width="11.28515625" customWidth="1"/>
    <col min="7426" max="7426" width="2" customWidth="1"/>
    <col min="7427" max="7427" width="12.85546875" customWidth="1"/>
    <col min="7428" max="7428" width="1.42578125" customWidth="1"/>
    <col min="7429" max="7429" width="11.5703125" customWidth="1"/>
    <col min="7430" max="7430" width="2.85546875" customWidth="1"/>
    <col min="7431" max="7431" width="1" customWidth="1"/>
    <col min="7432" max="7432" width="8" customWidth="1"/>
    <col min="7433" max="7433" width="2.28515625" customWidth="1"/>
    <col min="7434" max="7434" width="2.140625" customWidth="1"/>
    <col min="7435" max="7435" width="9.28515625" customWidth="1"/>
    <col min="7436" max="7436" width="4" customWidth="1"/>
    <col min="7437" max="7437" width="2.85546875" customWidth="1"/>
    <col min="7438" max="7438" width="12.5703125" customWidth="1"/>
    <col min="7439" max="7439" width="1" customWidth="1"/>
    <col min="7440" max="7440" width="1.140625" customWidth="1"/>
    <col min="7441" max="7441" width="2.85546875" customWidth="1"/>
    <col min="7442" max="7442" width="9.85546875" customWidth="1"/>
    <col min="7443" max="7674" width="6.85546875" customWidth="1"/>
    <col min="7675" max="7675" width="3.140625" customWidth="1"/>
    <col min="7676" max="7676" width="21.140625" customWidth="1"/>
    <col min="7677" max="7677" width="7.42578125" customWidth="1"/>
    <col min="7678" max="7678" width="1.42578125" customWidth="1"/>
    <col min="7679" max="7679" width="11.85546875" customWidth="1"/>
    <col min="7680" max="7680" width="2.28515625" customWidth="1"/>
    <col min="7681" max="7681" width="11.28515625" customWidth="1"/>
    <col min="7682" max="7682" width="2" customWidth="1"/>
    <col min="7683" max="7683" width="12.85546875" customWidth="1"/>
    <col min="7684" max="7684" width="1.42578125" customWidth="1"/>
    <col min="7685" max="7685" width="11.5703125" customWidth="1"/>
    <col min="7686" max="7686" width="2.85546875" customWidth="1"/>
    <col min="7687" max="7687" width="1" customWidth="1"/>
    <col min="7688" max="7688" width="8" customWidth="1"/>
    <col min="7689" max="7689" width="2.28515625" customWidth="1"/>
    <col min="7690" max="7690" width="2.140625" customWidth="1"/>
    <col min="7691" max="7691" width="9.28515625" customWidth="1"/>
    <col min="7692" max="7692" width="4" customWidth="1"/>
    <col min="7693" max="7693" width="2.85546875" customWidth="1"/>
    <col min="7694" max="7694" width="12.5703125" customWidth="1"/>
    <col min="7695" max="7695" width="1" customWidth="1"/>
    <col min="7696" max="7696" width="1.140625" customWidth="1"/>
    <col min="7697" max="7697" width="2.85546875" customWidth="1"/>
    <col min="7698" max="7698" width="9.85546875" customWidth="1"/>
    <col min="7699" max="7930" width="6.85546875" customWidth="1"/>
    <col min="7931" max="7931" width="3.140625" customWidth="1"/>
    <col min="7932" max="7932" width="21.140625" customWidth="1"/>
    <col min="7933" max="7933" width="7.42578125" customWidth="1"/>
    <col min="7934" max="7934" width="1.42578125" customWidth="1"/>
    <col min="7935" max="7935" width="11.85546875" customWidth="1"/>
    <col min="7936" max="7936" width="2.28515625" customWidth="1"/>
    <col min="7937" max="7937" width="11.28515625" customWidth="1"/>
    <col min="7938" max="7938" width="2" customWidth="1"/>
    <col min="7939" max="7939" width="12.85546875" customWidth="1"/>
    <col min="7940" max="7940" width="1.42578125" customWidth="1"/>
    <col min="7941" max="7941" width="11.5703125" customWidth="1"/>
    <col min="7942" max="7942" width="2.85546875" customWidth="1"/>
    <col min="7943" max="7943" width="1" customWidth="1"/>
    <col min="7944" max="7944" width="8" customWidth="1"/>
    <col min="7945" max="7945" width="2.28515625" customWidth="1"/>
    <col min="7946" max="7946" width="2.140625" customWidth="1"/>
    <col min="7947" max="7947" width="9.28515625" customWidth="1"/>
    <col min="7948" max="7948" width="4" customWidth="1"/>
    <col min="7949" max="7949" width="2.85546875" customWidth="1"/>
    <col min="7950" max="7950" width="12.5703125" customWidth="1"/>
    <col min="7951" max="7951" width="1" customWidth="1"/>
    <col min="7952" max="7952" width="1.140625" customWidth="1"/>
    <col min="7953" max="7953" width="2.85546875" customWidth="1"/>
    <col min="7954" max="7954" width="9.85546875" customWidth="1"/>
    <col min="7955" max="8186" width="6.85546875" customWidth="1"/>
    <col min="8187" max="8187" width="3.140625" customWidth="1"/>
    <col min="8188" max="8188" width="21.140625" customWidth="1"/>
    <col min="8189" max="8189" width="7.42578125" customWidth="1"/>
    <col min="8190" max="8190" width="1.42578125" customWidth="1"/>
    <col min="8191" max="8191" width="11.85546875" customWidth="1"/>
    <col min="8192" max="8192" width="2.28515625" customWidth="1"/>
    <col min="8193" max="8193" width="11.28515625" customWidth="1"/>
    <col min="8194" max="8194" width="2" customWidth="1"/>
    <col min="8195" max="8195" width="12.85546875" customWidth="1"/>
    <col min="8196" max="8196" width="1.42578125" customWidth="1"/>
    <col min="8197" max="8197" width="11.5703125" customWidth="1"/>
    <col min="8198" max="8198" width="2.85546875" customWidth="1"/>
    <col min="8199" max="8199" width="1" customWidth="1"/>
    <col min="8200" max="8200" width="8" customWidth="1"/>
    <col min="8201" max="8201" width="2.28515625" customWidth="1"/>
    <col min="8202" max="8202" width="2.140625" customWidth="1"/>
    <col min="8203" max="8203" width="9.28515625" customWidth="1"/>
    <col min="8204" max="8204" width="4" customWidth="1"/>
    <col min="8205" max="8205" width="2.85546875" customWidth="1"/>
    <col min="8206" max="8206" width="12.5703125" customWidth="1"/>
    <col min="8207" max="8207" width="1" customWidth="1"/>
    <col min="8208" max="8208" width="1.140625" customWidth="1"/>
    <col min="8209" max="8209" width="2.85546875" customWidth="1"/>
    <col min="8210" max="8210" width="9.85546875" customWidth="1"/>
    <col min="8211" max="8442" width="6.85546875" customWidth="1"/>
    <col min="8443" max="8443" width="3.140625" customWidth="1"/>
    <col min="8444" max="8444" width="21.140625" customWidth="1"/>
    <col min="8445" max="8445" width="7.42578125" customWidth="1"/>
    <col min="8446" max="8446" width="1.42578125" customWidth="1"/>
    <col min="8447" max="8447" width="11.85546875" customWidth="1"/>
    <col min="8448" max="8448" width="2.28515625" customWidth="1"/>
    <col min="8449" max="8449" width="11.28515625" customWidth="1"/>
    <col min="8450" max="8450" width="2" customWidth="1"/>
    <col min="8451" max="8451" width="12.85546875" customWidth="1"/>
    <col min="8452" max="8452" width="1.42578125" customWidth="1"/>
    <col min="8453" max="8453" width="11.5703125" customWidth="1"/>
    <col min="8454" max="8454" width="2.85546875" customWidth="1"/>
    <col min="8455" max="8455" width="1" customWidth="1"/>
    <col min="8456" max="8456" width="8" customWidth="1"/>
    <col min="8457" max="8457" width="2.28515625" customWidth="1"/>
    <col min="8458" max="8458" width="2.140625" customWidth="1"/>
    <col min="8459" max="8459" width="9.28515625" customWidth="1"/>
    <col min="8460" max="8460" width="4" customWidth="1"/>
    <col min="8461" max="8461" width="2.85546875" customWidth="1"/>
    <col min="8462" max="8462" width="12.5703125" customWidth="1"/>
    <col min="8463" max="8463" width="1" customWidth="1"/>
    <col min="8464" max="8464" width="1.140625" customWidth="1"/>
    <col min="8465" max="8465" width="2.85546875" customWidth="1"/>
    <col min="8466" max="8466" width="9.85546875" customWidth="1"/>
    <col min="8467" max="8698" width="6.85546875" customWidth="1"/>
    <col min="8699" max="8699" width="3.140625" customWidth="1"/>
    <col min="8700" max="8700" width="21.140625" customWidth="1"/>
    <col min="8701" max="8701" width="7.42578125" customWidth="1"/>
    <col min="8702" max="8702" width="1.42578125" customWidth="1"/>
    <col min="8703" max="8703" width="11.85546875" customWidth="1"/>
    <col min="8704" max="8704" width="2.28515625" customWidth="1"/>
    <col min="8705" max="8705" width="11.28515625" customWidth="1"/>
    <col min="8706" max="8706" width="2" customWidth="1"/>
    <col min="8707" max="8707" width="12.85546875" customWidth="1"/>
    <col min="8708" max="8708" width="1.42578125" customWidth="1"/>
    <col min="8709" max="8709" width="11.5703125" customWidth="1"/>
    <col min="8710" max="8710" width="2.85546875" customWidth="1"/>
    <col min="8711" max="8711" width="1" customWidth="1"/>
    <col min="8712" max="8712" width="8" customWidth="1"/>
    <col min="8713" max="8713" width="2.28515625" customWidth="1"/>
    <col min="8714" max="8714" width="2.140625" customWidth="1"/>
    <col min="8715" max="8715" width="9.28515625" customWidth="1"/>
    <col min="8716" max="8716" width="4" customWidth="1"/>
    <col min="8717" max="8717" width="2.85546875" customWidth="1"/>
    <col min="8718" max="8718" width="12.5703125" customWidth="1"/>
    <col min="8719" max="8719" width="1" customWidth="1"/>
    <col min="8720" max="8720" width="1.140625" customWidth="1"/>
    <col min="8721" max="8721" width="2.85546875" customWidth="1"/>
    <col min="8722" max="8722" width="9.85546875" customWidth="1"/>
    <col min="8723" max="8954" width="6.85546875" customWidth="1"/>
    <col min="8955" max="8955" width="3.140625" customWidth="1"/>
    <col min="8956" max="8956" width="21.140625" customWidth="1"/>
    <col min="8957" max="8957" width="7.42578125" customWidth="1"/>
    <col min="8958" max="8958" width="1.42578125" customWidth="1"/>
    <col min="8959" max="8959" width="11.85546875" customWidth="1"/>
    <col min="8960" max="8960" width="2.28515625" customWidth="1"/>
    <col min="8961" max="8961" width="11.28515625" customWidth="1"/>
    <col min="8962" max="8962" width="2" customWidth="1"/>
    <col min="8963" max="8963" width="12.85546875" customWidth="1"/>
    <col min="8964" max="8964" width="1.42578125" customWidth="1"/>
    <col min="8965" max="8965" width="11.5703125" customWidth="1"/>
    <col min="8966" max="8966" width="2.85546875" customWidth="1"/>
    <col min="8967" max="8967" width="1" customWidth="1"/>
    <col min="8968" max="8968" width="8" customWidth="1"/>
    <col min="8969" max="8969" width="2.28515625" customWidth="1"/>
    <col min="8970" max="8970" width="2.140625" customWidth="1"/>
    <col min="8971" max="8971" width="9.28515625" customWidth="1"/>
    <col min="8972" max="8972" width="4" customWidth="1"/>
    <col min="8973" max="8973" width="2.85546875" customWidth="1"/>
    <col min="8974" max="8974" width="12.5703125" customWidth="1"/>
    <col min="8975" max="8975" width="1" customWidth="1"/>
    <col min="8976" max="8976" width="1.140625" customWidth="1"/>
    <col min="8977" max="8977" width="2.85546875" customWidth="1"/>
    <col min="8978" max="8978" width="9.85546875" customWidth="1"/>
    <col min="8979" max="9210" width="6.85546875" customWidth="1"/>
    <col min="9211" max="9211" width="3.140625" customWidth="1"/>
    <col min="9212" max="9212" width="21.140625" customWidth="1"/>
    <col min="9213" max="9213" width="7.42578125" customWidth="1"/>
    <col min="9214" max="9214" width="1.42578125" customWidth="1"/>
    <col min="9215" max="9215" width="11.85546875" customWidth="1"/>
    <col min="9216" max="9216" width="2.28515625" customWidth="1"/>
    <col min="9217" max="9217" width="11.28515625" customWidth="1"/>
    <col min="9218" max="9218" width="2" customWidth="1"/>
    <col min="9219" max="9219" width="12.85546875" customWidth="1"/>
    <col min="9220" max="9220" width="1.42578125" customWidth="1"/>
    <col min="9221" max="9221" width="11.5703125" customWidth="1"/>
    <col min="9222" max="9222" width="2.85546875" customWidth="1"/>
    <col min="9223" max="9223" width="1" customWidth="1"/>
    <col min="9224" max="9224" width="8" customWidth="1"/>
    <col min="9225" max="9225" width="2.28515625" customWidth="1"/>
    <col min="9226" max="9226" width="2.140625" customWidth="1"/>
    <col min="9227" max="9227" width="9.28515625" customWidth="1"/>
    <col min="9228" max="9228" width="4" customWidth="1"/>
    <col min="9229" max="9229" width="2.85546875" customWidth="1"/>
    <col min="9230" max="9230" width="12.5703125" customWidth="1"/>
    <col min="9231" max="9231" width="1" customWidth="1"/>
    <col min="9232" max="9232" width="1.140625" customWidth="1"/>
    <col min="9233" max="9233" width="2.85546875" customWidth="1"/>
    <col min="9234" max="9234" width="9.85546875" customWidth="1"/>
    <col min="9235" max="9466" width="6.85546875" customWidth="1"/>
    <col min="9467" max="9467" width="3.140625" customWidth="1"/>
    <col min="9468" max="9468" width="21.140625" customWidth="1"/>
    <col min="9469" max="9469" width="7.42578125" customWidth="1"/>
    <col min="9470" max="9470" width="1.42578125" customWidth="1"/>
    <col min="9471" max="9471" width="11.85546875" customWidth="1"/>
    <col min="9472" max="9472" width="2.28515625" customWidth="1"/>
    <col min="9473" max="9473" width="11.28515625" customWidth="1"/>
    <col min="9474" max="9474" width="2" customWidth="1"/>
    <col min="9475" max="9475" width="12.85546875" customWidth="1"/>
    <col min="9476" max="9476" width="1.42578125" customWidth="1"/>
    <col min="9477" max="9477" width="11.5703125" customWidth="1"/>
    <col min="9478" max="9478" width="2.85546875" customWidth="1"/>
    <col min="9479" max="9479" width="1" customWidth="1"/>
    <col min="9480" max="9480" width="8" customWidth="1"/>
    <col min="9481" max="9481" width="2.28515625" customWidth="1"/>
    <col min="9482" max="9482" width="2.140625" customWidth="1"/>
    <col min="9483" max="9483" width="9.28515625" customWidth="1"/>
    <col min="9484" max="9484" width="4" customWidth="1"/>
    <col min="9485" max="9485" width="2.85546875" customWidth="1"/>
    <col min="9486" max="9486" width="12.5703125" customWidth="1"/>
    <col min="9487" max="9487" width="1" customWidth="1"/>
    <col min="9488" max="9488" width="1.140625" customWidth="1"/>
    <col min="9489" max="9489" width="2.85546875" customWidth="1"/>
    <col min="9490" max="9490" width="9.85546875" customWidth="1"/>
    <col min="9491" max="9722" width="6.85546875" customWidth="1"/>
    <col min="9723" max="9723" width="3.140625" customWidth="1"/>
    <col min="9724" max="9724" width="21.140625" customWidth="1"/>
    <col min="9725" max="9725" width="7.42578125" customWidth="1"/>
    <col min="9726" max="9726" width="1.42578125" customWidth="1"/>
    <col min="9727" max="9727" width="11.85546875" customWidth="1"/>
    <col min="9728" max="9728" width="2.28515625" customWidth="1"/>
    <col min="9729" max="9729" width="11.28515625" customWidth="1"/>
    <col min="9730" max="9730" width="2" customWidth="1"/>
    <col min="9731" max="9731" width="12.85546875" customWidth="1"/>
    <col min="9732" max="9732" width="1.42578125" customWidth="1"/>
    <col min="9733" max="9733" width="11.5703125" customWidth="1"/>
    <col min="9734" max="9734" width="2.85546875" customWidth="1"/>
    <col min="9735" max="9735" width="1" customWidth="1"/>
    <col min="9736" max="9736" width="8" customWidth="1"/>
    <col min="9737" max="9737" width="2.28515625" customWidth="1"/>
    <col min="9738" max="9738" width="2.140625" customWidth="1"/>
    <col min="9739" max="9739" width="9.28515625" customWidth="1"/>
    <col min="9740" max="9740" width="4" customWidth="1"/>
    <col min="9741" max="9741" width="2.85546875" customWidth="1"/>
    <col min="9742" max="9742" width="12.5703125" customWidth="1"/>
    <col min="9743" max="9743" width="1" customWidth="1"/>
    <col min="9744" max="9744" width="1.140625" customWidth="1"/>
    <col min="9745" max="9745" width="2.85546875" customWidth="1"/>
    <col min="9746" max="9746" width="9.85546875" customWidth="1"/>
    <col min="9747" max="9978" width="6.85546875" customWidth="1"/>
    <col min="9979" max="9979" width="3.140625" customWidth="1"/>
    <col min="9980" max="9980" width="21.140625" customWidth="1"/>
    <col min="9981" max="9981" width="7.42578125" customWidth="1"/>
    <col min="9982" max="9982" width="1.42578125" customWidth="1"/>
    <col min="9983" max="9983" width="11.85546875" customWidth="1"/>
    <col min="9984" max="9984" width="2.28515625" customWidth="1"/>
    <col min="9985" max="9985" width="11.28515625" customWidth="1"/>
    <col min="9986" max="9986" width="2" customWidth="1"/>
    <col min="9987" max="9987" width="12.85546875" customWidth="1"/>
    <col min="9988" max="9988" width="1.42578125" customWidth="1"/>
    <col min="9989" max="9989" width="11.5703125" customWidth="1"/>
    <col min="9990" max="9990" width="2.85546875" customWidth="1"/>
    <col min="9991" max="9991" width="1" customWidth="1"/>
    <col min="9992" max="9992" width="8" customWidth="1"/>
    <col min="9993" max="9993" width="2.28515625" customWidth="1"/>
    <col min="9994" max="9994" width="2.140625" customWidth="1"/>
    <col min="9995" max="9995" width="9.28515625" customWidth="1"/>
    <col min="9996" max="9996" width="4" customWidth="1"/>
    <col min="9997" max="9997" width="2.85546875" customWidth="1"/>
    <col min="9998" max="9998" width="12.5703125" customWidth="1"/>
    <col min="9999" max="9999" width="1" customWidth="1"/>
    <col min="10000" max="10000" width="1.140625" customWidth="1"/>
    <col min="10001" max="10001" width="2.85546875" customWidth="1"/>
    <col min="10002" max="10002" width="9.85546875" customWidth="1"/>
    <col min="10003" max="10234" width="6.85546875" customWidth="1"/>
    <col min="10235" max="10235" width="3.140625" customWidth="1"/>
    <col min="10236" max="10236" width="21.140625" customWidth="1"/>
    <col min="10237" max="10237" width="7.42578125" customWidth="1"/>
    <col min="10238" max="10238" width="1.42578125" customWidth="1"/>
    <col min="10239" max="10239" width="11.85546875" customWidth="1"/>
    <col min="10240" max="10240" width="2.28515625" customWidth="1"/>
    <col min="10241" max="10241" width="11.28515625" customWidth="1"/>
    <col min="10242" max="10242" width="2" customWidth="1"/>
    <col min="10243" max="10243" width="12.85546875" customWidth="1"/>
    <col min="10244" max="10244" width="1.42578125" customWidth="1"/>
    <col min="10245" max="10245" width="11.5703125" customWidth="1"/>
    <col min="10246" max="10246" width="2.85546875" customWidth="1"/>
    <col min="10247" max="10247" width="1" customWidth="1"/>
    <col min="10248" max="10248" width="8" customWidth="1"/>
    <col min="10249" max="10249" width="2.28515625" customWidth="1"/>
    <col min="10250" max="10250" width="2.140625" customWidth="1"/>
    <col min="10251" max="10251" width="9.28515625" customWidth="1"/>
    <col min="10252" max="10252" width="4" customWidth="1"/>
    <col min="10253" max="10253" width="2.85546875" customWidth="1"/>
    <col min="10254" max="10254" width="12.5703125" customWidth="1"/>
    <col min="10255" max="10255" width="1" customWidth="1"/>
    <col min="10256" max="10256" width="1.140625" customWidth="1"/>
    <col min="10257" max="10257" width="2.85546875" customWidth="1"/>
    <col min="10258" max="10258" width="9.85546875" customWidth="1"/>
    <col min="10259" max="10490" width="6.85546875" customWidth="1"/>
    <col min="10491" max="10491" width="3.140625" customWidth="1"/>
    <col min="10492" max="10492" width="21.140625" customWidth="1"/>
    <col min="10493" max="10493" width="7.42578125" customWidth="1"/>
    <col min="10494" max="10494" width="1.42578125" customWidth="1"/>
    <col min="10495" max="10495" width="11.85546875" customWidth="1"/>
    <col min="10496" max="10496" width="2.28515625" customWidth="1"/>
    <col min="10497" max="10497" width="11.28515625" customWidth="1"/>
    <col min="10498" max="10498" width="2" customWidth="1"/>
    <col min="10499" max="10499" width="12.85546875" customWidth="1"/>
    <col min="10500" max="10500" width="1.42578125" customWidth="1"/>
    <col min="10501" max="10501" width="11.5703125" customWidth="1"/>
    <col min="10502" max="10502" width="2.85546875" customWidth="1"/>
    <col min="10503" max="10503" width="1" customWidth="1"/>
    <col min="10504" max="10504" width="8" customWidth="1"/>
    <col min="10505" max="10505" width="2.28515625" customWidth="1"/>
    <col min="10506" max="10506" width="2.140625" customWidth="1"/>
    <col min="10507" max="10507" width="9.28515625" customWidth="1"/>
    <col min="10508" max="10508" width="4" customWidth="1"/>
    <col min="10509" max="10509" width="2.85546875" customWidth="1"/>
    <col min="10510" max="10510" width="12.5703125" customWidth="1"/>
    <col min="10511" max="10511" width="1" customWidth="1"/>
    <col min="10512" max="10512" width="1.140625" customWidth="1"/>
    <col min="10513" max="10513" width="2.85546875" customWidth="1"/>
    <col min="10514" max="10514" width="9.85546875" customWidth="1"/>
    <col min="10515" max="10746" width="6.85546875" customWidth="1"/>
    <col min="10747" max="10747" width="3.140625" customWidth="1"/>
    <col min="10748" max="10748" width="21.140625" customWidth="1"/>
    <col min="10749" max="10749" width="7.42578125" customWidth="1"/>
    <col min="10750" max="10750" width="1.42578125" customWidth="1"/>
    <col min="10751" max="10751" width="11.85546875" customWidth="1"/>
    <col min="10752" max="10752" width="2.28515625" customWidth="1"/>
    <col min="10753" max="10753" width="11.28515625" customWidth="1"/>
    <col min="10754" max="10754" width="2" customWidth="1"/>
    <col min="10755" max="10755" width="12.85546875" customWidth="1"/>
    <col min="10756" max="10756" width="1.42578125" customWidth="1"/>
    <col min="10757" max="10757" width="11.5703125" customWidth="1"/>
    <col min="10758" max="10758" width="2.85546875" customWidth="1"/>
    <col min="10759" max="10759" width="1" customWidth="1"/>
    <col min="10760" max="10760" width="8" customWidth="1"/>
    <col min="10761" max="10761" width="2.28515625" customWidth="1"/>
    <col min="10762" max="10762" width="2.140625" customWidth="1"/>
    <col min="10763" max="10763" width="9.28515625" customWidth="1"/>
    <col min="10764" max="10764" width="4" customWidth="1"/>
    <col min="10765" max="10765" width="2.85546875" customWidth="1"/>
    <col min="10766" max="10766" width="12.5703125" customWidth="1"/>
    <col min="10767" max="10767" width="1" customWidth="1"/>
    <col min="10768" max="10768" width="1.140625" customWidth="1"/>
    <col min="10769" max="10769" width="2.85546875" customWidth="1"/>
    <col min="10770" max="10770" width="9.85546875" customWidth="1"/>
    <col min="10771" max="11002" width="6.85546875" customWidth="1"/>
    <col min="11003" max="11003" width="3.140625" customWidth="1"/>
    <col min="11004" max="11004" width="21.140625" customWidth="1"/>
    <col min="11005" max="11005" width="7.42578125" customWidth="1"/>
    <col min="11006" max="11006" width="1.42578125" customWidth="1"/>
    <col min="11007" max="11007" width="11.85546875" customWidth="1"/>
    <col min="11008" max="11008" width="2.28515625" customWidth="1"/>
    <col min="11009" max="11009" width="11.28515625" customWidth="1"/>
    <col min="11010" max="11010" width="2" customWidth="1"/>
    <col min="11011" max="11011" width="12.85546875" customWidth="1"/>
    <col min="11012" max="11012" width="1.42578125" customWidth="1"/>
    <col min="11013" max="11013" width="11.5703125" customWidth="1"/>
    <col min="11014" max="11014" width="2.85546875" customWidth="1"/>
    <col min="11015" max="11015" width="1" customWidth="1"/>
    <col min="11016" max="11016" width="8" customWidth="1"/>
    <col min="11017" max="11017" width="2.28515625" customWidth="1"/>
    <col min="11018" max="11018" width="2.140625" customWidth="1"/>
    <col min="11019" max="11019" width="9.28515625" customWidth="1"/>
    <col min="11020" max="11020" width="4" customWidth="1"/>
    <col min="11021" max="11021" width="2.85546875" customWidth="1"/>
    <col min="11022" max="11022" width="12.5703125" customWidth="1"/>
    <col min="11023" max="11023" width="1" customWidth="1"/>
    <col min="11024" max="11024" width="1.140625" customWidth="1"/>
    <col min="11025" max="11025" width="2.85546875" customWidth="1"/>
    <col min="11026" max="11026" width="9.85546875" customWidth="1"/>
    <col min="11027" max="11258" width="6.85546875" customWidth="1"/>
    <col min="11259" max="11259" width="3.140625" customWidth="1"/>
    <col min="11260" max="11260" width="21.140625" customWidth="1"/>
    <col min="11261" max="11261" width="7.42578125" customWidth="1"/>
    <col min="11262" max="11262" width="1.42578125" customWidth="1"/>
    <col min="11263" max="11263" width="11.85546875" customWidth="1"/>
    <col min="11264" max="11264" width="2.28515625" customWidth="1"/>
    <col min="11265" max="11265" width="11.28515625" customWidth="1"/>
    <col min="11266" max="11266" width="2" customWidth="1"/>
    <col min="11267" max="11267" width="12.85546875" customWidth="1"/>
    <col min="11268" max="11268" width="1.42578125" customWidth="1"/>
    <col min="11269" max="11269" width="11.5703125" customWidth="1"/>
    <col min="11270" max="11270" width="2.85546875" customWidth="1"/>
    <col min="11271" max="11271" width="1" customWidth="1"/>
    <col min="11272" max="11272" width="8" customWidth="1"/>
    <col min="11273" max="11273" width="2.28515625" customWidth="1"/>
    <col min="11274" max="11274" width="2.140625" customWidth="1"/>
    <col min="11275" max="11275" width="9.28515625" customWidth="1"/>
    <col min="11276" max="11276" width="4" customWidth="1"/>
    <col min="11277" max="11277" width="2.85546875" customWidth="1"/>
    <col min="11278" max="11278" width="12.5703125" customWidth="1"/>
    <col min="11279" max="11279" width="1" customWidth="1"/>
    <col min="11280" max="11280" width="1.140625" customWidth="1"/>
    <col min="11281" max="11281" width="2.85546875" customWidth="1"/>
    <col min="11282" max="11282" width="9.85546875" customWidth="1"/>
    <col min="11283" max="11514" width="6.85546875" customWidth="1"/>
    <col min="11515" max="11515" width="3.140625" customWidth="1"/>
    <col min="11516" max="11516" width="21.140625" customWidth="1"/>
    <col min="11517" max="11517" width="7.42578125" customWidth="1"/>
    <col min="11518" max="11518" width="1.42578125" customWidth="1"/>
    <col min="11519" max="11519" width="11.85546875" customWidth="1"/>
    <col min="11520" max="11520" width="2.28515625" customWidth="1"/>
    <col min="11521" max="11521" width="11.28515625" customWidth="1"/>
    <col min="11522" max="11522" width="2" customWidth="1"/>
    <col min="11523" max="11523" width="12.85546875" customWidth="1"/>
    <col min="11524" max="11524" width="1.42578125" customWidth="1"/>
    <col min="11525" max="11525" width="11.5703125" customWidth="1"/>
    <col min="11526" max="11526" width="2.85546875" customWidth="1"/>
    <col min="11527" max="11527" width="1" customWidth="1"/>
    <col min="11528" max="11528" width="8" customWidth="1"/>
    <col min="11529" max="11529" width="2.28515625" customWidth="1"/>
    <col min="11530" max="11530" width="2.140625" customWidth="1"/>
    <col min="11531" max="11531" width="9.28515625" customWidth="1"/>
    <col min="11532" max="11532" width="4" customWidth="1"/>
    <col min="11533" max="11533" width="2.85546875" customWidth="1"/>
    <col min="11534" max="11534" width="12.5703125" customWidth="1"/>
    <col min="11535" max="11535" width="1" customWidth="1"/>
    <col min="11536" max="11536" width="1.140625" customWidth="1"/>
    <col min="11537" max="11537" width="2.85546875" customWidth="1"/>
    <col min="11538" max="11538" width="9.85546875" customWidth="1"/>
    <col min="11539" max="11770" width="6.85546875" customWidth="1"/>
    <col min="11771" max="11771" width="3.140625" customWidth="1"/>
    <col min="11772" max="11772" width="21.140625" customWidth="1"/>
    <col min="11773" max="11773" width="7.42578125" customWidth="1"/>
    <col min="11774" max="11774" width="1.42578125" customWidth="1"/>
    <col min="11775" max="11775" width="11.85546875" customWidth="1"/>
    <col min="11776" max="11776" width="2.28515625" customWidth="1"/>
    <col min="11777" max="11777" width="11.28515625" customWidth="1"/>
    <col min="11778" max="11778" width="2" customWidth="1"/>
    <col min="11779" max="11779" width="12.85546875" customWidth="1"/>
    <col min="11780" max="11780" width="1.42578125" customWidth="1"/>
    <col min="11781" max="11781" width="11.5703125" customWidth="1"/>
    <col min="11782" max="11782" width="2.85546875" customWidth="1"/>
    <col min="11783" max="11783" width="1" customWidth="1"/>
    <col min="11784" max="11784" width="8" customWidth="1"/>
    <col min="11785" max="11785" width="2.28515625" customWidth="1"/>
    <col min="11786" max="11786" width="2.140625" customWidth="1"/>
    <col min="11787" max="11787" width="9.28515625" customWidth="1"/>
    <col min="11788" max="11788" width="4" customWidth="1"/>
    <col min="11789" max="11789" width="2.85546875" customWidth="1"/>
    <col min="11790" max="11790" width="12.5703125" customWidth="1"/>
    <col min="11791" max="11791" width="1" customWidth="1"/>
    <col min="11792" max="11792" width="1.140625" customWidth="1"/>
    <col min="11793" max="11793" width="2.85546875" customWidth="1"/>
    <col min="11794" max="11794" width="9.85546875" customWidth="1"/>
    <col min="11795" max="12026" width="6.85546875" customWidth="1"/>
    <col min="12027" max="12027" width="3.140625" customWidth="1"/>
    <col min="12028" max="12028" width="21.140625" customWidth="1"/>
    <col min="12029" max="12029" width="7.42578125" customWidth="1"/>
    <col min="12030" max="12030" width="1.42578125" customWidth="1"/>
    <col min="12031" max="12031" width="11.85546875" customWidth="1"/>
    <col min="12032" max="12032" width="2.28515625" customWidth="1"/>
    <col min="12033" max="12033" width="11.28515625" customWidth="1"/>
    <col min="12034" max="12034" width="2" customWidth="1"/>
    <col min="12035" max="12035" width="12.85546875" customWidth="1"/>
    <col min="12036" max="12036" width="1.42578125" customWidth="1"/>
    <col min="12037" max="12037" width="11.5703125" customWidth="1"/>
    <col min="12038" max="12038" width="2.85546875" customWidth="1"/>
    <col min="12039" max="12039" width="1" customWidth="1"/>
    <col min="12040" max="12040" width="8" customWidth="1"/>
    <col min="12041" max="12041" width="2.28515625" customWidth="1"/>
    <col min="12042" max="12042" width="2.140625" customWidth="1"/>
    <col min="12043" max="12043" width="9.28515625" customWidth="1"/>
    <col min="12044" max="12044" width="4" customWidth="1"/>
    <col min="12045" max="12045" width="2.85546875" customWidth="1"/>
    <col min="12046" max="12046" width="12.5703125" customWidth="1"/>
    <col min="12047" max="12047" width="1" customWidth="1"/>
    <col min="12048" max="12048" width="1.140625" customWidth="1"/>
    <col min="12049" max="12049" width="2.85546875" customWidth="1"/>
    <col min="12050" max="12050" width="9.85546875" customWidth="1"/>
    <col min="12051" max="12282" width="6.85546875" customWidth="1"/>
    <col min="12283" max="12283" width="3.140625" customWidth="1"/>
    <col min="12284" max="12284" width="21.140625" customWidth="1"/>
    <col min="12285" max="12285" width="7.42578125" customWidth="1"/>
    <col min="12286" max="12286" width="1.42578125" customWidth="1"/>
    <col min="12287" max="12287" width="11.85546875" customWidth="1"/>
    <col min="12288" max="12288" width="2.28515625" customWidth="1"/>
    <col min="12289" max="12289" width="11.28515625" customWidth="1"/>
    <col min="12290" max="12290" width="2" customWidth="1"/>
    <col min="12291" max="12291" width="12.85546875" customWidth="1"/>
    <col min="12292" max="12292" width="1.42578125" customWidth="1"/>
    <col min="12293" max="12293" width="11.5703125" customWidth="1"/>
    <col min="12294" max="12294" width="2.85546875" customWidth="1"/>
    <col min="12295" max="12295" width="1" customWidth="1"/>
    <col min="12296" max="12296" width="8" customWidth="1"/>
    <col min="12297" max="12297" width="2.28515625" customWidth="1"/>
    <col min="12298" max="12298" width="2.140625" customWidth="1"/>
    <col min="12299" max="12299" width="9.28515625" customWidth="1"/>
    <col min="12300" max="12300" width="4" customWidth="1"/>
    <col min="12301" max="12301" width="2.85546875" customWidth="1"/>
    <col min="12302" max="12302" width="12.5703125" customWidth="1"/>
    <col min="12303" max="12303" width="1" customWidth="1"/>
    <col min="12304" max="12304" width="1.140625" customWidth="1"/>
    <col min="12305" max="12305" width="2.85546875" customWidth="1"/>
    <col min="12306" max="12306" width="9.85546875" customWidth="1"/>
    <col min="12307" max="12538" width="6.85546875" customWidth="1"/>
    <col min="12539" max="12539" width="3.140625" customWidth="1"/>
    <col min="12540" max="12540" width="21.140625" customWidth="1"/>
    <col min="12541" max="12541" width="7.42578125" customWidth="1"/>
    <col min="12542" max="12542" width="1.42578125" customWidth="1"/>
    <col min="12543" max="12543" width="11.85546875" customWidth="1"/>
    <col min="12544" max="12544" width="2.28515625" customWidth="1"/>
    <col min="12545" max="12545" width="11.28515625" customWidth="1"/>
    <col min="12546" max="12546" width="2" customWidth="1"/>
    <col min="12547" max="12547" width="12.85546875" customWidth="1"/>
    <col min="12548" max="12548" width="1.42578125" customWidth="1"/>
    <col min="12549" max="12549" width="11.5703125" customWidth="1"/>
    <col min="12550" max="12550" width="2.85546875" customWidth="1"/>
    <col min="12551" max="12551" width="1" customWidth="1"/>
    <col min="12552" max="12552" width="8" customWidth="1"/>
    <col min="12553" max="12553" width="2.28515625" customWidth="1"/>
    <col min="12554" max="12554" width="2.140625" customWidth="1"/>
    <col min="12555" max="12555" width="9.28515625" customWidth="1"/>
    <col min="12556" max="12556" width="4" customWidth="1"/>
    <col min="12557" max="12557" width="2.85546875" customWidth="1"/>
    <col min="12558" max="12558" width="12.5703125" customWidth="1"/>
    <col min="12559" max="12559" width="1" customWidth="1"/>
    <col min="12560" max="12560" width="1.140625" customWidth="1"/>
    <col min="12561" max="12561" width="2.85546875" customWidth="1"/>
    <col min="12562" max="12562" width="9.85546875" customWidth="1"/>
    <col min="12563" max="12794" width="6.85546875" customWidth="1"/>
    <col min="12795" max="12795" width="3.140625" customWidth="1"/>
    <col min="12796" max="12796" width="21.140625" customWidth="1"/>
    <col min="12797" max="12797" width="7.42578125" customWidth="1"/>
    <col min="12798" max="12798" width="1.42578125" customWidth="1"/>
    <col min="12799" max="12799" width="11.85546875" customWidth="1"/>
    <col min="12800" max="12800" width="2.28515625" customWidth="1"/>
    <col min="12801" max="12801" width="11.28515625" customWidth="1"/>
    <col min="12802" max="12802" width="2" customWidth="1"/>
    <col min="12803" max="12803" width="12.85546875" customWidth="1"/>
    <col min="12804" max="12804" width="1.42578125" customWidth="1"/>
    <col min="12805" max="12805" width="11.5703125" customWidth="1"/>
    <col min="12806" max="12806" width="2.85546875" customWidth="1"/>
    <col min="12807" max="12807" width="1" customWidth="1"/>
    <col min="12808" max="12808" width="8" customWidth="1"/>
    <col min="12809" max="12809" width="2.28515625" customWidth="1"/>
    <col min="12810" max="12810" width="2.140625" customWidth="1"/>
    <col min="12811" max="12811" width="9.28515625" customWidth="1"/>
    <col min="12812" max="12812" width="4" customWidth="1"/>
    <col min="12813" max="12813" width="2.85546875" customWidth="1"/>
    <col min="12814" max="12814" width="12.5703125" customWidth="1"/>
    <col min="12815" max="12815" width="1" customWidth="1"/>
    <col min="12816" max="12816" width="1.140625" customWidth="1"/>
    <col min="12817" max="12817" width="2.85546875" customWidth="1"/>
    <col min="12818" max="12818" width="9.85546875" customWidth="1"/>
    <col min="12819" max="13050" width="6.85546875" customWidth="1"/>
    <col min="13051" max="13051" width="3.140625" customWidth="1"/>
    <col min="13052" max="13052" width="21.140625" customWidth="1"/>
    <col min="13053" max="13053" width="7.42578125" customWidth="1"/>
    <col min="13054" max="13054" width="1.42578125" customWidth="1"/>
    <col min="13055" max="13055" width="11.85546875" customWidth="1"/>
    <col min="13056" max="13056" width="2.28515625" customWidth="1"/>
    <col min="13057" max="13057" width="11.28515625" customWidth="1"/>
    <col min="13058" max="13058" width="2" customWidth="1"/>
    <col min="13059" max="13059" width="12.85546875" customWidth="1"/>
    <col min="13060" max="13060" width="1.42578125" customWidth="1"/>
    <col min="13061" max="13061" width="11.5703125" customWidth="1"/>
    <col min="13062" max="13062" width="2.85546875" customWidth="1"/>
    <col min="13063" max="13063" width="1" customWidth="1"/>
    <col min="13064" max="13064" width="8" customWidth="1"/>
    <col min="13065" max="13065" width="2.28515625" customWidth="1"/>
    <col min="13066" max="13066" width="2.140625" customWidth="1"/>
    <col min="13067" max="13067" width="9.28515625" customWidth="1"/>
    <col min="13068" max="13068" width="4" customWidth="1"/>
    <col min="13069" max="13069" width="2.85546875" customWidth="1"/>
    <col min="13070" max="13070" width="12.5703125" customWidth="1"/>
    <col min="13071" max="13071" width="1" customWidth="1"/>
    <col min="13072" max="13072" width="1.140625" customWidth="1"/>
    <col min="13073" max="13073" width="2.85546875" customWidth="1"/>
    <col min="13074" max="13074" width="9.85546875" customWidth="1"/>
    <col min="13075" max="13306" width="6.85546875" customWidth="1"/>
    <col min="13307" max="13307" width="3.140625" customWidth="1"/>
    <col min="13308" max="13308" width="21.140625" customWidth="1"/>
    <col min="13309" max="13309" width="7.42578125" customWidth="1"/>
    <col min="13310" max="13310" width="1.42578125" customWidth="1"/>
    <col min="13311" max="13311" width="11.85546875" customWidth="1"/>
    <col min="13312" max="13312" width="2.28515625" customWidth="1"/>
    <col min="13313" max="13313" width="11.28515625" customWidth="1"/>
    <col min="13314" max="13314" width="2" customWidth="1"/>
    <col min="13315" max="13315" width="12.85546875" customWidth="1"/>
    <col min="13316" max="13316" width="1.42578125" customWidth="1"/>
    <col min="13317" max="13317" width="11.5703125" customWidth="1"/>
    <col min="13318" max="13318" width="2.85546875" customWidth="1"/>
    <col min="13319" max="13319" width="1" customWidth="1"/>
    <col min="13320" max="13320" width="8" customWidth="1"/>
    <col min="13321" max="13321" width="2.28515625" customWidth="1"/>
    <col min="13322" max="13322" width="2.140625" customWidth="1"/>
    <col min="13323" max="13323" width="9.28515625" customWidth="1"/>
    <col min="13324" max="13324" width="4" customWidth="1"/>
    <col min="13325" max="13325" width="2.85546875" customWidth="1"/>
    <col min="13326" max="13326" width="12.5703125" customWidth="1"/>
    <col min="13327" max="13327" width="1" customWidth="1"/>
    <col min="13328" max="13328" width="1.140625" customWidth="1"/>
    <col min="13329" max="13329" width="2.85546875" customWidth="1"/>
    <col min="13330" max="13330" width="9.85546875" customWidth="1"/>
    <col min="13331" max="13562" width="6.85546875" customWidth="1"/>
    <col min="13563" max="13563" width="3.140625" customWidth="1"/>
    <col min="13564" max="13564" width="21.140625" customWidth="1"/>
    <col min="13565" max="13565" width="7.42578125" customWidth="1"/>
    <col min="13566" max="13566" width="1.42578125" customWidth="1"/>
    <col min="13567" max="13567" width="11.85546875" customWidth="1"/>
    <col min="13568" max="13568" width="2.28515625" customWidth="1"/>
    <col min="13569" max="13569" width="11.28515625" customWidth="1"/>
    <col min="13570" max="13570" width="2" customWidth="1"/>
    <col min="13571" max="13571" width="12.85546875" customWidth="1"/>
    <col min="13572" max="13572" width="1.42578125" customWidth="1"/>
    <col min="13573" max="13573" width="11.5703125" customWidth="1"/>
    <col min="13574" max="13574" width="2.85546875" customWidth="1"/>
    <col min="13575" max="13575" width="1" customWidth="1"/>
    <col min="13576" max="13576" width="8" customWidth="1"/>
    <col min="13577" max="13577" width="2.28515625" customWidth="1"/>
    <col min="13578" max="13578" width="2.140625" customWidth="1"/>
    <col min="13579" max="13579" width="9.28515625" customWidth="1"/>
    <col min="13580" max="13580" width="4" customWidth="1"/>
    <col min="13581" max="13581" width="2.85546875" customWidth="1"/>
    <col min="13582" max="13582" width="12.5703125" customWidth="1"/>
    <col min="13583" max="13583" width="1" customWidth="1"/>
    <col min="13584" max="13584" width="1.140625" customWidth="1"/>
    <col min="13585" max="13585" width="2.85546875" customWidth="1"/>
    <col min="13586" max="13586" width="9.85546875" customWidth="1"/>
    <col min="13587" max="13818" width="6.85546875" customWidth="1"/>
    <col min="13819" max="13819" width="3.140625" customWidth="1"/>
    <col min="13820" max="13820" width="21.140625" customWidth="1"/>
    <col min="13821" max="13821" width="7.42578125" customWidth="1"/>
    <col min="13822" max="13822" width="1.42578125" customWidth="1"/>
    <col min="13823" max="13823" width="11.85546875" customWidth="1"/>
    <col min="13824" max="13824" width="2.28515625" customWidth="1"/>
    <col min="13825" max="13825" width="11.28515625" customWidth="1"/>
    <col min="13826" max="13826" width="2" customWidth="1"/>
    <col min="13827" max="13827" width="12.85546875" customWidth="1"/>
    <col min="13828" max="13828" width="1.42578125" customWidth="1"/>
    <col min="13829" max="13829" width="11.5703125" customWidth="1"/>
    <col min="13830" max="13830" width="2.85546875" customWidth="1"/>
    <col min="13831" max="13831" width="1" customWidth="1"/>
    <col min="13832" max="13832" width="8" customWidth="1"/>
    <col min="13833" max="13833" width="2.28515625" customWidth="1"/>
    <col min="13834" max="13834" width="2.140625" customWidth="1"/>
    <col min="13835" max="13835" width="9.28515625" customWidth="1"/>
    <col min="13836" max="13836" width="4" customWidth="1"/>
    <col min="13837" max="13837" width="2.85546875" customWidth="1"/>
    <col min="13838" max="13838" width="12.5703125" customWidth="1"/>
    <col min="13839" max="13839" width="1" customWidth="1"/>
    <col min="13840" max="13840" width="1.140625" customWidth="1"/>
    <col min="13841" max="13841" width="2.85546875" customWidth="1"/>
    <col min="13842" max="13842" width="9.85546875" customWidth="1"/>
    <col min="13843" max="14074" width="6.85546875" customWidth="1"/>
    <col min="14075" max="14075" width="3.140625" customWidth="1"/>
    <col min="14076" max="14076" width="21.140625" customWidth="1"/>
    <col min="14077" max="14077" width="7.42578125" customWidth="1"/>
    <col min="14078" max="14078" width="1.42578125" customWidth="1"/>
    <col min="14079" max="14079" width="11.85546875" customWidth="1"/>
    <col min="14080" max="14080" width="2.28515625" customWidth="1"/>
    <col min="14081" max="14081" width="11.28515625" customWidth="1"/>
    <col min="14082" max="14082" width="2" customWidth="1"/>
    <col min="14083" max="14083" width="12.85546875" customWidth="1"/>
    <col min="14084" max="14084" width="1.42578125" customWidth="1"/>
    <col min="14085" max="14085" width="11.5703125" customWidth="1"/>
    <col min="14086" max="14086" width="2.85546875" customWidth="1"/>
    <col min="14087" max="14087" width="1" customWidth="1"/>
    <col min="14088" max="14088" width="8" customWidth="1"/>
    <col min="14089" max="14089" width="2.28515625" customWidth="1"/>
    <col min="14090" max="14090" width="2.140625" customWidth="1"/>
    <col min="14091" max="14091" width="9.28515625" customWidth="1"/>
    <col min="14092" max="14092" width="4" customWidth="1"/>
    <col min="14093" max="14093" width="2.85546875" customWidth="1"/>
    <col min="14094" max="14094" width="12.5703125" customWidth="1"/>
    <col min="14095" max="14095" width="1" customWidth="1"/>
    <col min="14096" max="14096" width="1.140625" customWidth="1"/>
    <col min="14097" max="14097" width="2.85546875" customWidth="1"/>
    <col min="14098" max="14098" width="9.85546875" customWidth="1"/>
    <col min="14099" max="14330" width="6.85546875" customWidth="1"/>
    <col min="14331" max="14331" width="3.140625" customWidth="1"/>
    <col min="14332" max="14332" width="21.140625" customWidth="1"/>
    <col min="14333" max="14333" width="7.42578125" customWidth="1"/>
    <col min="14334" max="14334" width="1.42578125" customWidth="1"/>
    <col min="14335" max="14335" width="11.85546875" customWidth="1"/>
    <col min="14336" max="14336" width="2.28515625" customWidth="1"/>
    <col min="14337" max="14337" width="11.28515625" customWidth="1"/>
    <col min="14338" max="14338" width="2" customWidth="1"/>
    <col min="14339" max="14339" width="12.85546875" customWidth="1"/>
    <col min="14340" max="14340" width="1.42578125" customWidth="1"/>
    <col min="14341" max="14341" width="11.5703125" customWidth="1"/>
    <col min="14342" max="14342" width="2.85546875" customWidth="1"/>
    <col min="14343" max="14343" width="1" customWidth="1"/>
    <col min="14344" max="14344" width="8" customWidth="1"/>
    <col min="14345" max="14345" width="2.28515625" customWidth="1"/>
    <col min="14346" max="14346" width="2.140625" customWidth="1"/>
    <col min="14347" max="14347" width="9.28515625" customWidth="1"/>
    <col min="14348" max="14348" width="4" customWidth="1"/>
    <col min="14349" max="14349" width="2.85546875" customWidth="1"/>
    <col min="14350" max="14350" width="12.5703125" customWidth="1"/>
    <col min="14351" max="14351" width="1" customWidth="1"/>
    <col min="14352" max="14352" width="1.140625" customWidth="1"/>
    <col min="14353" max="14353" width="2.85546875" customWidth="1"/>
    <col min="14354" max="14354" width="9.85546875" customWidth="1"/>
    <col min="14355" max="14586" width="6.85546875" customWidth="1"/>
    <col min="14587" max="14587" width="3.140625" customWidth="1"/>
    <col min="14588" max="14588" width="21.140625" customWidth="1"/>
    <col min="14589" max="14589" width="7.42578125" customWidth="1"/>
    <col min="14590" max="14590" width="1.42578125" customWidth="1"/>
    <col min="14591" max="14591" width="11.85546875" customWidth="1"/>
    <col min="14592" max="14592" width="2.28515625" customWidth="1"/>
    <col min="14593" max="14593" width="11.28515625" customWidth="1"/>
    <col min="14594" max="14594" width="2" customWidth="1"/>
    <col min="14595" max="14595" width="12.85546875" customWidth="1"/>
    <col min="14596" max="14596" width="1.42578125" customWidth="1"/>
    <col min="14597" max="14597" width="11.5703125" customWidth="1"/>
    <col min="14598" max="14598" width="2.85546875" customWidth="1"/>
    <col min="14599" max="14599" width="1" customWidth="1"/>
    <col min="14600" max="14600" width="8" customWidth="1"/>
    <col min="14601" max="14601" width="2.28515625" customWidth="1"/>
    <col min="14602" max="14602" width="2.140625" customWidth="1"/>
    <col min="14603" max="14603" width="9.28515625" customWidth="1"/>
    <col min="14604" max="14604" width="4" customWidth="1"/>
    <col min="14605" max="14605" width="2.85546875" customWidth="1"/>
    <col min="14606" max="14606" width="12.5703125" customWidth="1"/>
    <col min="14607" max="14607" width="1" customWidth="1"/>
    <col min="14608" max="14608" width="1.140625" customWidth="1"/>
    <col min="14609" max="14609" width="2.85546875" customWidth="1"/>
    <col min="14610" max="14610" width="9.85546875" customWidth="1"/>
    <col min="14611" max="14842" width="6.85546875" customWidth="1"/>
    <col min="14843" max="14843" width="3.140625" customWidth="1"/>
    <col min="14844" max="14844" width="21.140625" customWidth="1"/>
    <col min="14845" max="14845" width="7.42578125" customWidth="1"/>
    <col min="14846" max="14846" width="1.42578125" customWidth="1"/>
    <col min="14847" max="14847" width="11.85546875" customWidth="1"/>
    <col min="14848" max="14848" width="2.28515625" customWidth="1"/>
    <col min="14849" max="14849" width="11.28515625" customWidth="1"/>
    <col min="14850" max="14850" width="2" customWidth="1"/>
    <col min="14851" max="14851" width="12.85546875" customWidth="1"/>
    <col min="14852" max="14852" width="1.42578125" customWidth="1"/>
    <col min="14853" max="14853" width="11.5703125" customWidth="1"/>
    <col min="14854" max="14854" width="2.85546875" customWidth="1"/>
    <col min="14855" max="14855" width="1" customWidth="1"/>
    <col min="14856" max="14856" width="8" customWidth="1"/>
    <col min="14857" max="14857" width="2.28515625" customWidth="1"/>
    <col min="14858" max="14858" width="2.140625" customWidth="1"/>
    <col min="14859" max="14859" width="9.28515625" customWidth="1"/>
    <col min="14860" max="14860" width="4" customWidth="1"/>
    <col min="14861" max="14861" width="2.85546875" customWidth="1"/>
    <col min="14862" max="14862" width="12.5703125" customWidth="1"/>
    <col min="14863" max="14863" width="1" customWidth="1"/>
    <col min="14864" max="14864" width="1.140625" customWidth="1"/>
    <col min="14865" max="14865" width="2.85546875" customWidth="1"/>
    <col min="14866" max="14866" width="9.85546875" customWidth="1"/>
    <col min="14867" max="15098" width="6.85546875" customWidth="1"/>
    <col min="15099" max="15099" width="3.140625" customWidth="1"/>
    <col min="15100" max="15100" width="21.140625" customWidth="1"/>
    <col min="15101" max="15101" width="7.42578125" customWidth="1"/>
    <col min="15102" max="15102" width="1.42578125" customWidth="1"/>
    <col min="15103" max="15103" width="11.85546875" customWidth="1"/>
    <col min="15104" max="15104" width="2.28515625" customWidth="1"/>
    <col min="15105" max="15105" width="11.28515625" customWidth="1"/>
    <col min="15106" max="15106" width="2" customWidth="1"/>
    <col min="15107" max="15107" width="12.85546875" customWidth="1"/>
    <col min="15108" max="15108" width="1.42578125" customWidth="1"/>
    <col min="15109" max="15109" width="11.5703125" customWidth="1"/>
    <col min="15110" max="15110" width="2.85546875" customWidth="1"/>
    <col min="15111" max="15111" width="1" customWidth="1"/>
    <col min="15112" max="15112" width="8" customWidth="1"/>
    <col min="15113" max="15113" width="2.28515625" customWidth="1"/>
    <col min="15114" max="15114" width="2.140625" customWidth="1"/>
    <col min="15115" max="15115" width="9.28515625" customWidth="1"/>
    <col min="15116" max="15116" width="4" customWidth="1"/>
    <col min="15117" max="15117" width="2.85546875" customWidth="1"/>
    <col min="15118" max="15118" width="12.5703125" customWidth="1"/>
    <col min="15119" max="15119" width="1" customWidth="1"/>
    <col min="15120" max="15120" width="1.140625" customWidth="1"/>
    <col min="15121" max="15121" width="2.85546875" customWidth="1"/>
    <col min="15122" max="15122" width="9.85546875" customWidth="1"/>
    <col min="15123" max="15354" width="6.85546875" customWidth="1"/>
    <col min="15355" max="15355" width="3.140625" customWidth="1"/>
    <col min="15356" max="15356" width="21.140625" customWidth="1"/>
    <col min="15357" max="15357" width="7.42578125" customWidth="1"/>
    <col min="15358" max="15358" width="1.42578125" customWidth="1"/>
    <col min="15359" max="15359" width="11.85546875" customWidth="1"/>
    <col min="15360" max="15360" width="2.28515625" customWidth="1"/>
    <col min="15361" max="15361" width="11.28515625" customWidth="1"/>
    <col min="15362" max="15362" width="2" customWidth="1"/>
    <col min="15363" max="15363" width="12.85546875" customWidth="1"/>
    <col min="15364" max="15364" width="1.42578125" customWidth="1"/>
    <col min="15365" max="15365" width="11.5703125" customWidth="1"/>
    <col min="15366" max="15366" width="2.85546875" customWidth="1"/>
    <col min="15367" max="15367" width="1" customWidth="1"/>
    <col min="15368" max="15368" width="8" customWidth="1"/>
    <col min="15369" max="15369" width="2.28515625" customWidth="1"/>
    <col min="15370" max="15370" width="2.140625" customWidth="1"/>
    <col min="15371" max="15371" width="9.28515625" customWidth="1"/>
    <col min="15372" max="15372" width="4" customWidth="1"/>
    <col min="15373" max="15373" width="2.85546875" customWidth="1"/>
    <col min="15374" max="15374" width="12.5703125" customWidth="1"/>
    <col min="15375" max="15375" width="1" customWidth="1"/>
    <col min="15376" max="15376" width="1.140625" customWidth="1"/>
    <col min="15377" max="15377" width="2.85546875" customWidth="1"/>
    <col min="15378" max="15378" width="9.85546875" customWidth="1"/>
    <col min="15379" max="15610" width="6.85546875" customWidth="1"/>
    <col min="15611" max="15611" width="3.140625" customWidth="1"/>
    <col min="15612" max="15612" width="21.140625" customWidth="1"/>
    <col min="15613" max="15613" width="7.42578125" customWidth="1"/>
    <col min="15614" max="15614" width="1.42578125" customWidth="1"/>
    <col min="15615" max="15615" width="11.85546875" customWidth="1"/>
    <col min="15616" max="15616" width="2.28515625" customWidth="1"/>
    <col min="15617" max="15617" width="11.28515625" customWidth="1"/>
    <col min="15618" max="15618" width="2" customWidth="1"/>
    <col min="15619" max="15619" width="12.85546875" customWidth="1"/>
    <col min="15620" max="15620" width="1.42578125" customWidth="1"/>
    <col min="15621" max="15621" width="11.5703125" customWidth="1"/>
    <col min="15622" max="15622" width="2.85546875" customWidth="1"/>
    <col min="15623" max="15623" width="1" customWidth="1"/>
    <col min="15624" max="15624" width="8" customWidth="1"/>
    <col min="15625" max="15625" width="2.28515625" customWidth="1"/>
    <col min="15626" max="15626" width="2.140625" customWidth="1"/>
    <col min="15627" max="15627" width="9.28515625" customWidth="1"/>
    <col min="15628" max="15628" width="4" customWidth="1"/>
    <col min="15629" max="15629" width="2.85546875" customWidth="1"/>
    <col min="15630" max="15630" width="12.5703125" customWidth="1"/>
    <col min="15631" max="15631" width="1" customWidth="1"/>
    <col min="15632" max="15632" width="1.140625" customWidth="1"/>
    <col min="15633" max="15633" width="2.85546875" customWidth="1"/>
    <col min="15634" max="15634" width="9.85546875" customWidth="1"/>
    <col min="15635" max="15866" width="6.85546875" customWidth="1"/>
    <col min="15867" max="15867" width="3.140625" customWidth="1"/>
    <col min="15868" max="15868" width="21.140625" customWidth="1"/>
    <col min="15869" max="15869" width="7.42578125" customWidth="1"/>
    <col min="15870" max="15870" width="1.42578125" customWidth="1"/>
    <col min="15871" max="15871" width="11.85546875" customWidth="1"/>
    <col min="15872" max="15872" width="2.28515625" customWidth="1"/>
    <col min="15873" max="15873" width="11.28515625" customWidth="1"/>
    <col min="15874" max="15874" width="2" customWidth="1"/>
    <col min="15875" max="15875" width="12.85546875" customWidth="1"/>
    <col min="15876" max="15876" width="1.42578125" customWidth="1"/>
    <col min="15877" max="15877" width="11.5703125" customWidth="1"/>
    <col min="15878" max="15878" width="2.85546875" customWidth="1"/>
    <col min="15879" max="15879" width="1" customWidth="1"/>
    <col min="15880" max="15880" width="8" customWidth="1"/>
    <col min="15881" max="15881" width="2.28515625" customWidth="1"/>
    <col min="15882" max="15882" width="2.140625" customWidth="1"/>
    <col min="15883" max="15883" width="9.28515625" customWidth="1"/>
    <col min="15884" max="15884" width="4" customWidth="1"/>
    <col min="15885" max="15885" width="2.85546875" customWidth="1"/>
    <col min="15886" max="15886" width="12.5703125" customWidth="1"/>
    <col min="15887" max="15887" width="1" customWidth="1"/>
    <col min="15888" max="15888" width="1.140625" customWidth="1"/>
    <col min="15889" max="15889" width="2.85546875" customWidth="1"/>
    <col min="15890" max="15890" width="9.85546875" customWidth="1"/>
    <col min="15891" max="16122" width="6.85546875" customWidth="1"/>
    <col min="16123" max="16123" width="3.140625" customWidth="1"/>
    <col min="16124" max="16124" width="21.140625" customWidth="1"/>
    <col min="16125" max="16125" width="7.42578125" customWidth="1"/>
    <col min="16126" max="16126" width="1.42578125" customWidth="1"/>
    <col min="16127" max="16127" width="11.85546875" customWidth="1"/>
    <col min="16128" max="16128" width="2.28515625" customWidth="1"/>
    <col min="16129" max="16129" width="11.28515625" customWidth="1"/>
    <col min="16130" max="16130" width="2" customWidth="1"/>
    <col min="16131" max="16131" width="12.85546875" customWidth="1"/>
    <col min="16132" max="16132" width="1.42578125" customWidth="1"/>
    <col min="16133" max="16133" width="11.5703125" customWidth="1"/>
    <col min="16134" max="16134" width="2.85546875" customWidth="1"/>
    <col min="16135" max="16135" width="1" customWidth="1"/>
    <col min="16136" max="16136" width="8" customWidth="1"/>
    <col min="16137" max="16137" width="2.28515625" customWidth="1"/>
    <col min="16138" max="16138" width="2.140625" customWidth="1"/>
    <col min="16139" max="16139" width="9.28515625" customWidth="1"/>
    <col min="16140" max="16140" width="4" customWidth="1"/>
    <col min="16141" max="16141" width="2.85546875" customWidth="1"/>
    <col min="16142" max="16142" width="12.5703125" customWidth="1"/>
    <col min="16143" max="16143" width="1" customWidth="1"/>
    <col min="16144" max="16144" width="1.140625" customWidth="1"/>
    <col min="16145" max="16145" width="2.85546875" customWidth="1"/>
    <col min="16146" max="16146" width="9.85546875" customWidth="1"/>
    <col min="16147" max="16384" width="6.85546875" customWidth="1"/>
  </cols>
  <sheetData>
    <row r="1" spans="1:19" ht="6" customHeight="1"/>
    <row r="2" spans="1:19" ht="18.75" customHeight="1">
      <c r="R2" s="610" t="s">
        <v>692</v>
      </c>
    </row>
    <row r="3" spans="1:19" ht="24" customHeight="1">
      <c r="A3" s="633" t="s">
        <v>693</v>
      </c>
      <c r="B3" s="633"/>
      <c r="C3" s="633"/>
      <c r="D3" s="633"/>
      <c r="E3" s="633"/>
      <c r="F3" s="633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</row>
    <row r="4" spans="1:19" ht="24" customHeight="1">
      <c r="A4" s="633" t="s">
        <v>694</v>
      </c>
      <c r="B4" s="633"/>
      <c r="C4" s="633"/>
      <c r="D4" s="633"/>
      <c r="E4" s="633"/>
      <c r="F4" s="633"/>
      <c r="G4" s="633"/>
      <c r="H4" s="633"/>
      <c r="I4" s="633"/>
      <c r="J4" s="633"/>
      <c r="K4" s="633"/>
      <c r="L4" s="633"/>
      <c r="M4" s="633"/>
      <c r="N4" s="633"/>
      <c r="O4" s="633"/>
      <c r="P4" s="633"/>
      <c r="Q4" s="633"/>
      <c r="R4" s="633"/>
    </row>
    <row r="5" spans="1:19" ht="24" customHeight="1">
      <c r="A5" s="633" t="s">
        <v>695</v>
      </c>
      <c r="B5" s="633"/>
      <c r="C5" s="633"/>
      <c r="D5" s="633"/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/>
      <c r="P5" s="633"/>
      <c r="Q5" s="633"/>
      <c r="R5" s="633"/>
    </row>
    <row r="6" spans="1:19" ht="20.25" customHeight="1"/>
    <row r="7" spans="1:19" ht="12" customHeight="1">
      <c r="A7" s="630" t="s">
        <v>696</v>
      </c>
      <c r="B7" s="630"/>
      <c r="C7" s="630"/>
      <c r="E7" s="630" t="s">
        <v>697</v>
      </c>
      <c r="F7" s="630" t="s">
        <v>698</v>
      </c>
      <c r="G7" s="630"/>
      <c r="H7" s="630" t="s">
        <v>699</v>
      </c>
      <c r="I7" s="630"/>
      <c r="K7" s="630" t="s">
        <v>700</v>
      </c>
      <c r="L7" s="630"/>
      <c r="N7" s="630" t="s">
        <v>701</v>
      </c>
      <c r="Q7" s="630" t="s">
        <v>702</v>
      </c>
      <c r="R7" s="630"/>
    </row>
    <row r="8" spans="1:19" ht="12" customHeight="1">
      <c r="A8" s="630"/>
      <c r="B8" s="630"/>
      <c r="C8" s="630"/>
      <c r="E8" s="630"/>
      <c r="F8" s="630"/>
      <c r="G8" s="630"/>
      <c r="H8" s="630"/>
      <c r="I8" s="630"/>
      <c r="K8" s="630"/>
      <c r="L8" s="630"/>
      <c r="N8" s="630"/>
      <c r="Q8" s="630"/>
      <c r="R8" s="630"/>
    </row>
    <row r="9" spans="1:19" ht="16.5" customHeight="1">
      <c r="A9" s="630"/>
      <c r="B9" s="630"/>
      <c r="C9" s="630"/>
      <c r="E9" s="630"/>
      <c r="F9" s="630"/>
      <c r="G9" s="630"/>
      <c r="H9" s="630"/>
      <c r="I9" s="630"/>
      <c r="K9" s="630"/>
      <c r="L9" s="630"/>
      <c r="N9" s="630"/>
      <c r="Q9" s="630"/>
      <c r="R9" s="630"/>
    </row>
    <row r="10" spans="1:19" ht="6" customHeight="1"/>
    <row r="11" spans="1:19" s="602" customFormat="1" ht="14.25" customHeight="1">
      <c r="B11" s="631" t="s">
        <v>703</v>
      </c>
      <c r="C11" s="631"/>
      <c r="E11" s="603">
        <v>298414</v>
      </c>
      <c r="G11" s="603">
        <v>298414</v>
      </c>
      <c r="I11" s="603">
        <v>298414</v>
      </c>
    </row>
    <row r="12" spans="1:19" s="602" customFormat="1" ht="14.25" customHeight="1">
      <c r="B12" s="631"/>
      <c r="C12" s="631"/>
    </row>
    <row r="13" spans="1:19" s="602" customFormat="1" ht="14.25" customHeight="1">
      <c r="B13" s="631" t="s">
        <v>704</v>
      </c>
      <c r="C13" s="631"/>
      <c r="E13" s="603">
        <v>3</v>
      </c>
      <c r="Q13" s="632">
        <v>3</v>
      </c>
      <c r="R13" s="632"/>
    </row>
    <row r="14" spans="1:19" s="602" customFormat="1" ht="14.25" customHeight="1">
      <c r="B14" s="631"/>
      <c r="C14" s="631"/>
      <c r="S14" s="602">
        <f>SUM(Q11:R14)</f>
        <v>3</v>
      </c>
    </row>
    <row r="15" spans="1:19" ht="14.25" customHeight="1">
      <c r="B15" s="628" t="s">
        <v>705</v>
      </c>
      <c r="C15" s="628"/>
      <c r="E15" s="599">
        <v>2543400</v>
      </c>
      <c r="G15" s="599">
        <v>2543400</v>
      </c>
      <c r="I15" s="599">
        <v>2543400</v>
      </c>
    </row>
    <row r="16" spans="1:19" ht="14.25" customHeight="1">
      <c r="B16" s="628"/>
      <c r="C16" s="628"/>
    </row>
    <row r="17" spans="2:18" ht="14.25" customHeight="1">
      <c r="B17" s="628" t="s">
        <v>706</v>
      </c>
      <c r="C17" s="628"/>
      <c r="E17" s="599">
        <v>663894</v>
      </c>
      <c r="G17" s="599">
        <v>663894</v>
      </c>
      <c r="I17" s="599">
        <v>663894</v>
      </c>
    </row>
    <row r="18" spans="2:18" ht="14.25" customHeight="1">
      <c r="B18" s="628"/>
      <c r="C18" s="628"/>
    </row>
    <row r="19" spans="2:18" ht="14.25" customHeight="1">
      <c r="B19" s="628" t="s">
        <v>707</v>
      </c>
      <c r="C19" s="628"/>
      <c r="E19" s="599">
        <v>230554</v>
      </c>
      <c r="G19" s="599">
        <v>220617</v>
      </c>
      <c r="I19" s="599">
        <v>220617</v>
      </c>
      <c r="Q19" s="629">
        <v>9937</v>
      </c>
      <c r="R19" s="629"/>
    </row>
    <row r="20" spans="2:18" ht="14.25" customHeight="1">
      <c r="B20" s="628"/>
      <c r="C20" s="628"/>
    </row>
    <row r="21" spans="2:18" ht="14.25" customHeight="1">
      <c r="B21" s="628" t="s">
        <v>708</v>
      </c>
      <c r="C21" s="628"/>
      <c r="E21" s="599">
        <v>111207</v>
      </c>
      <c r="G21" s="599">
        <v>111207</v>
      </c>
      <c r="I21" s="599">
        <v>111207</v>
      </c>
    </row>
    <row r="22" spans="2:18" ht="14.25" customHeight="1">
      <c r="B22" s="628"/>
      <c r="C22" s="628"/>
    </row>
    <row r="23" spans="2:18" ht="14.25" customHeight="1">
      <c r="B23" s="628" t="s">
        <v>709</v>
      </c>
      <c r="C23" s="628"/>
      <c r="E23" s="599">
        <v>364032</v>
      </c>
      <c r="G23" s="599">
        <v>364032</v>
      </c>
      <c r="I23" s="599">
        <v>364032</v>
      </c>
    </row>
    <row r="24" spans="2:18" ht="14.25" customHeight="1">
      <c r="B24" s="628"/>
      <c r="C24" s="628"/>
    </row>
    <row r="25" spans="2:18" ht="14.25" customHeight="1">
      <c r="B25" s="628" t="s">
        <v>710</v>
      </c>
      <c r="C25" s="628"/>
      <c r="E25" s="599">
        <v>9080</v>
      </c>
      <c r="I25" s="599">
        <v>6649</v>
      </c>
      <c r="Q25" s="629">
        <v>2431</v>
      </c>
      <c r="R25" s="629"/>
    </row>
    <row r="26" spans="2:18" ht="14.25" customHeight="1">
      <c r="B26" s="628"/>
      <c r="C26" s="628"/>
    </row>
    <row r="27" spans="2:18" ht="14.25" customHeight="1">
      <c r="B27" s="628" t="s">
        <v>711</v>
      </c>
      <c r="C27" s="628"/>
      <c r="E27" s="599">
        <v>73116</v>
      </c>
      <c r="G27" s="599">
        <v>64970</v>
      </c>
      <c r="I27" s="599">
        <v>64970</v>
      </c>
      <c r="Q27" s="629">
        <v>8146</v>
      </c>
      <c r="R27" s="629"/>
    </row>
    <row r="28" spans="2:18" ht="14.25" customHeight="1">
      <c r="B28" s="628"/>
      <c r="C28" s="628"/>
    </row>
    <row r="29" spans="2:18" ht="14.25" customHeight="1">
      <c r="B29" s="628" t="s">
        <v>712</v>
      </c>
      <c r="C29" s="628"/>
      <c r="E29" s="599">
        <v>14304</v>
      </c>
      <c r="G29" s="599">
        <v>14304</v>
      </c>
      <c r="I29" s="599">
        <v>14304</v>
      </c>
    </row>
    <row r="30" spans="2:18" ht="14.25" customHeight="1">
      <c r="B30" s="628"/>
      <c r="C30" s="628"/>
    </row>
    <row r="31" spans="2:18" ht="14.25" customHeight="1">
      <c r="B31" s="628" t="s">
        <v>713</v>
      </c>
      <c r="C31" s="628"/>
      <c r="E31" s="599">
        <v>119387</v>
      </c>
      <c r="G31" s="599">
        <v>119387</v>
      </c>
      <c r="I31" s="599">
        <v>119387</v>
      </c>
    </row>
    <row r="32" spans="2:18" ht="14.25" customHeight="1">
      <c r="B32" s="628"/>
      <c r="C32" s="628"/>
    </row>
    <row r="33" spans="2:18" ht="14.25" customHeight="1">
      <c r="B33" s="628" t="s">
        <v>714</v>
      </c>
      <c r="C33" s="628"/>
      <c r="E33" s="599">
        <v>991380</v>
      </c>
      <c r="G33" s="599">
        <v>916888</v>
      </c>
      <c r="I33" s="599">
        <v>916888</v>
      </c>
      <c r="Q33" s="629">
        <v>74492</v>
      </c>
      <c r="R33" s="629"/>
    </row>
    <row r="34" spans="2:18" ht="14.25" customHeight="1">
      <c r="B34" s="628"/>
      <c r="C34" s="628"/>
    </row>
    <row r="35" spans="2:18" ht="14.25" customHeight="1">
      <c r="B35" s="628" t="s">
        <v>715</v>
      </c>
      <c r="C35" s="628"/>
      <c r="E35" s="599">
        <v>159619</v>
      </c>
      <c r="G35" s="599">
        <v>146254</v>
      </c>
      <c r="I35" s="599">
        <v>146254</v>
      </c>
      <c r="Q35" s="629">
        <v>13365</v>
      </c>
      <c r="R35" s="629"/>
    </row>
    <row r="36" spans="2:18" ht="14.25" customHeight="1">
      <c r="B36" s="628"/>
      <c r="C36" s="628"/>
    </row>
    <row r="37" spans="2:18" ht="14.25" customHeight="1">
      <c r="B37" s="628" t="s">
        <v>716</v>
      </c>
      <c r="C37" s="628"/>
      <c r="E37" s="599">
        <v>88693</v>
      </c>
      <c r="G37" s="599">
        <v>88693</v>
      </c>
      <c r="I37" s="599">
        <v>88693</v>
      </c>
    </row>
    <row r="38" spans="2:18" ht="14.25" customHeight="1">
      <c r="B38" s="628"/>
      <c r="C38" s="628"/>
    </row>
    <row r="39" spans="2:18" ht="14.25" customHeight="1">
      <c r="B39" s="628" t="s">
        <v>717</v>
      </c>
      <c r="C39" s="628"/>
      <c r="E39" s="599">
        <v>12700</v>
      </c>
      <c r="G39" s="599">
        <v>12700</v>
      </c>
      <c r="I39" s="599">
        <v>12700</v>
      </c>
    </row>
    <row r="40" spans="2:18" ht="14.25" customHeight="1">
      <c r="B40" s="628"/>
      <c r="C40" s="628"/>
    </row>
    <row r="41" spans="2:18" ht="14.25" customHeight="1">
      <c r="B41" s="628" t="s">
        <v>718</v>
      </c>
      <c r="C41" s="628"/>
      <c r="E41" s="599">
        <v>57050</v>
      </c>
      <c r="G41" s="599">
        <v>57050</v>
      </c>
      <c r="I41" s="599">
        <v>57050</v>
      </c>
    </row>
    <row r="42" spans="2:18" ht="14.25" customHeight="1">
      <c r="B42" s="628"/>
      <c r="C42" s="628"/>
    </row>
    <row r="43" spans="2:18" ht="14.25" customHeight="1">
      <c r="B43" s="628" t="s">
        <v>719</v>
      </c>
      <c r="C43" s="628"/>
      <c r="E43" s="599">
        <v>154567</v>
      </c>
      <c r="G43" s="599">
        <v>154567</v>
      </c>
      <c r="I43" s="599">
        <v>154567</v>
      </c>
    </row>
    <row r="44" spans="2:18" ht="14.25" customHeight="1">
      <c r="B44" s="628"/>
      <c r="C44" s="628"/>
    </row>
    <row r="45" spans="2:18" ht="14.25" customHeight="1">
      <c r="B45" s="628" t="s">
        <v>720</v>
      </c>
      <c r="C45" s="628"/>
      <c r="E45" s="599">
        <v>108215</v>
      </c>
      <c r="G45" s="599">
        <v>108215</v>
      </c>
      <c r="I45" s="599">
        <v>108215</v>
      </c>
    </row>
    <row r="46" spans="2:18" ht="14.25" customHeight="1">
      <c r="B46" s="628"/>
      <c r="C46" s="628"/>
    </row>
    <row r="47" spans="2:18" ht="14.25" customHeight="1">
      <c r="B47" s="628" t="s">
        <v>721</v>
      </c>
      <c r="C47" s="628"/>
      <c r="E47" s="599">
        <v>24080</v>
      </c>
      <c r="G47" s="599">
        <v>24080</v>
      </c>
      <c r="I47" s="599">
        <v>24080</v>
      </c>
    </row>
    <row r="48" spans="2:18" ht="14.25" customHeight="1">
      <c r="B48" s="628"/>
      <c r="C48" s="628"/>
    </row>
    <row r="49" spans="2:18" ht="14.25" customHeight="1">
      <c r="B49" s="628" t="s">
        <v>722</v>
      </c>
      <c r="C49" s="628"/>
      <c r="E49" s="599">
        <v>60947</v>
      </c>
      <c r="G49" s="599">
        <v>59753</v>
      </c>
      <c r="I49" s="599">
        <v>60859</v>
      </c>
      <c r="Q49" s="629">
        <v>88</v>
      </c>
      <c r="R49" s="629"/>
    </row>
    <row r="50" spans="2:18" ht="14.25" customHeight="1">
      <c r="B50" s="628"/>
      <c r="C50" s="628"/>
    </row>
    <row r="51" spans="2:18" ht="14.25" customHeight="1">
      <c r="B51" s="628" t="s">
        <v>723</v>
      </c>
      <c r="C51" s="628"/>
      <c r="E51" s="599">
        <v>9800</v>
      </c>
      <c r="G51" s="599">
        <v>9352</v>
      </c>
      <c r="I51" s="599">
        <v>9538</v>
      </c>
      <c r="Q51" s="629">
        <v>262</v>
      </c>
      <c r="R51" s="629"/>
    </row>
    <row r="52" spans="2:18" ht="14.25" customHeight="1">
      <c r="B52" s="628"/>
      <c r="C52" s="628"/>
    </row>
    <row r="53" spans="2:18" ht="14.25" customHeight="1">
      <c r="B53" s="628" t="s">
        <v>724</v>
      </c>
      <c r="C53" s="628"/>
      <c r="E53" s="599">
        <v>9000</v>
      </c>
      <c r="G53" s="599">
        <v>8829</v>
      </c>
      <c r="I53" s="599">
        <v>9000</v>
      </c>
    </row>
    <row r="54" spans="2:18" ht="14.25" customHeight="1">
      <c r="B54" s="628"/>
      <c r="C54" s="628"/>
    </row>
    <row r="55" spans="2:18" ht="14.25" customHeight="1">
      <c r="B55" s="628" t="s">
        <v>725</v>
      </c>
      <c r="C55" s="628"/>
      <c r="E55" s="599">
        <v>9582</v>
      </c>
      <c r="G55" s="599">
        <v>9407</v>
      </c>
      <c r="I55" s="599">
        <v>9582</v>
      </c>
    </row>
    <row r="56" spans="2:18" ht="14.25" customHeight="1">
      <c r="B56" s="628"/>
      <c r="C56" s="628"/>
    </row>
    <row r="57" spans="2:18" ht="14.25" customHeight="1">
      <c r="B57" s="628" t="s">
        <v>726</v>
      </c>
      <c r="C57" s="628"/>
      <c r="E57" s="599">
        <v>42681</v>
      </c>
      <c r="G57" s="599">
        <v>41905</v>
      </c>
      <c r="I57" s="599">
        <v>42681</v>
      </c>
    </row>
    <row r="58" spans="2:18" ht="14.25" customHeight="1">
      <c r="B58" s="628"/>
      <c r="C58" s="628"/>
    </row>
    <row r="59" spans="2:18" ht="14.25" customHeight="1">
      <c r="B59" s="628" t="s">
        <v>727</v>
      </c>
      <c r="C59" s="628"/>
      <c r="E59" s="599">
        <v>26642</v>
      </c>
      <c r="G59" s="599">
        <v>26130</v>
      </c>
      <c r="I59" s="599">
        <v>26642</v>
      </c>
    </row>
    <row r="60" spans="2:18" ht="14.25" customHeight="1">
      <c r="B60" s="628"/>
      <c r="C60" s="628"/>
    </row>
    <row r="61" spans="2:18" ht="14.25" customHeight="1">
      <c r="B61" s="628" t="s">
        <v>728</v>
      </c>
      <c r="C61" s="628"/>
      <c r="E61" s="599">
        <v>43338</v>
      </c>
      <c r="G61" s="599">
        <v>42503</v>
      </c>
      <c r="I61" s="599">
        <v>43338</v>
      </c>
    </row>
    <row r="62" spans="2:18" ht="14.25" customHeight="1">
      <c r="B62" s="628"/>
      <c r="C62" s="628"/>
    </row>
    <row r="63" spans="2:18" ht="14.25" customHeight="1">
      <c r="B63" s="628" t="s">
        <v>729</v>
      </c>
      <c r="C63" s="628"/>
      <c r="E63" s="599">
        <v>392876</v>
      </c>
      <c r="G63" s="599">
        <v>257106</v>
      </c>
      <c r="I63" s="599">
        <v>322534</v>
      </c>
      <c r="Q63" s="629">
        <v>70342</v>
      </c>
      <c r="R63" s="629"/>
    </row>
    <row r="64" spans="2:18" ht="14.25" customHeight="1">
      <c r="B64" s="628"/>
      <c r="C64" s="628"/>
    </row>
    <row r="65" spans="2:18" ht="14.25" customHeight="1">
      <c r="B65" s="628" t="s">
        <v>730</v>
      </c>
      <c r="C65" s="628"/>
      <c r="E65" s="599">
        <v>4500</v>
      </c>
      <c r="G65" s="599">
        <v>4500</v>
      </c>
      <c r="I65" s="599">
        <v>4500</v>
      </c>
    </row>
    <row r="66" spans="2:18" ht="14.25" customHeight="1">
      <c r="B66" s="628"/>
      <c r="C66" s="628"/>
    </row>
    <row r="67" spans="2:18" ht="14.25" customHeight="1">
      <c r="B67" s="628" t="s">
        <v>731</v>
      </c>
      <c r="C67" s="628"/>
      <c r="E67" s="599">
        <v>2845323</v>
      </c>
      <c r="G67" s="599">
        <v>2742494</v>
      </c>
      <c r="I67" s="599">
        <v>2833027</v>
      </c>
      <c r="Q67" s="629">
        <v>12296</v>
      </c>
      <c r="R67" s="629"/>
    </row>
    <row r="68" spans="2:18" ht="14.25" customHeight="1">
      <c r="B68" s="628"/>
      <c r="C68" s="628"/>
    </row>
    <row r="69" spans="2:18" ht="14.25" customHeight="1">
      <c r="B69" s="628" t="s">
        <v>732</v>
      </c>
      <c r="C69" s="628"/>
      <c r="E69" s="599">
        <v>172106</v>
      </c>
      <c r="G69" s="599">
        <v>90981</v>
      </c>
      <c r="I69" s="599">
        <v>90981</v>
      </c>
      <c r="Q69" s="629">
        <v>81125</v>
      </c>
      <c r="R69" s="629"/>
    </row>
    <row r="70" spans="2:18" ht="14.25" customHeight="1">
      <c r="B70" s="628"/>
      <c r="C70" s="628"/>
    </row>
    <row r="71" spans="2:18" ht="14.25" customHeight="1">
      <c r="B71" s="628" t="s">
        <v>733</v>
      </c>
      <c r="C71" s="628"/>
      <c r="E71" s="599">
        <v>109232</v>
      </c>
      <c r="G71" s="599">
        <v>48625</v>
      </c>
      <c r="I71" s="599">
        <v>49378</v>
      </c>
      <c r="Q71" s="629">
        <v>59854</v>
      </c>
      <c r="R71" s="629"/>
    </row>
    <row r="72" spans="2:18" ht="14.25" customHeight="1">
      <c r="B72" s="628"/>
      <c r="C72" s="628"/>
    </row>
    <row r="73" spans="2:18" ht="14.25" customHeight="1">
      <c r="B73" s="628" t="s">
        <v>734</v>
      </c>
      <c r="C73" s="628"/>
      <c r="E73" s="599">
        <v>371479</v>
      </c>
      <c r="G73" s="599">
        <v>166387</v>
      </c>
      <c r="I73" s="599">
        <v>371479</v>
      </c>
    </row>
    <row r="74" spans="2:18" ht="14.25" customHeight="1">
      <c r="B74" s="628"/>
      <c r="C74" s="628"/>
    </row>
    <row r="75" spans="2:18" ht="14.25" customHeight="1">
      <c r="B75" s="628" t="s">
        <v>735</v>
      </c>
      <c r="C75" s="628"/>
      <c r="E75" s="599">
        <v>149104</v>
      </c>
      <c r="G75" s="599">
        <v>52944</v>
      </c>
      <c r="I75" s="599">
        <v>148419</v>
      </c>
      <c r="Q75" s="629">
        <v>685</v>
      </c>
      <c r="R75" s="629"/>
    </row>
    <row r="76" spans="2:18" ht="14.25" customHeight="1">
      <c r="B76" s="628"/>
      <c r="C76" s="628"/>
    </row>
    <row r="77" spans="2:18" ht="14.25" customHeight="1">
      <c r="B77" s="628" t="s">
        <v>736</v>
      </c>
      <c r="C77" s="628"/>
      <c r="E77" s="599">
        <v>2261992</v>
      </c>
      <c r="G77" s="599">
        <v>2261992</v>
      </c>
      <c r="I77" s="599">
        <v>2261992</v>
      </c>
    </row>
    <row r="78" spans="2:18" ht="14.25" customHeight="1">
      <c r="B78" s="628"/>
      <c r="C78" s="628"/>
    </row>
    <row r="79" spans="2:18" ht="14.25" customHeight="1">
      <c r="B79" s="628" t="s">
        <v>737</v>
      </c>
      <c r="C79" s="628"/>
      <c r="E79" s="599">
        <v>311450</v>
      </c>
      <c r="G79" s="599">
        <v>311450</v>
      </c>
      <c r="I79" s="599">
        <v>311450</v>
      </c>
    </row>
    <row r="80" spans="2:18" ht="14.25" customHeight="1">
      <c r="B80" s="628"/>
      <c r="C80" s="628"/>
    </row>
    <row r="81" spans="2:19" ht="14.25" customHeight="1">
      <c r="B81" s="628"/>
      <c r="C81" s="628"/>
    </row>
    <row r="82" spans="2:19" ht="14.25" customHeight="1">
      <c r="B82" s="628" t="s">
        <v>738</v>
      </c>
      <c r="C82" s="628"/>
      <c r="E82" s="599">
        <v>2770</v>
      </c>
      <c r="Q82" s="629">
        <v>2770</v>
      </c>
      <c r="R82" s="629"/>
    </row>
    <row r="83" spans="2:19" ht="14.25" customHeight="1">
      <c r="B83" s="628"/>
      <c r="C83" s="628"/>
    </row>
    <row r="84" spans="2:19" ht="14.25" customHeight="1">
      <c r="B84" s="628" t="s">
        <v>739</v>
      </c>
      <c r="C84" s="628"/>
      <c r="E84" s="599">
        <v>18404</v>
      </c>
      <c r="G84" s="599">
        <v>5923</v>
      </c>
      <c r="I84" s="599">
        <v>5923</v>
      </c>
      <c r="Q84" s="629">
        <v>12481</v>
      </c>
      <c r="R84" s="629"/>
    </row>
    <row r="85" spans="2:19" ht="14.25" customHeight="1">
      <c r="B85" s="628"/>
      <c r="C85" s="628"/>
    </row>
    <row r="86" spans="2:19" ht="14.25" customHeight="1">
      <c r="B86" s="628" t="s">
        <v>740</v>
      </c>
      <c r="C86" s="628"/>
      <c r="E86" s="599">
        <v>4963</v>
      </c>
      <c r="G86" s="599">
        <v>847</v>
      </c>
      <c r="I86" s="599">
        <v>847</v>
      </c>
      <c r="Q86" s="629">
        <v>4116</v>
      </c>
      <c r="R86" s="629"/>
    </row>
    <row r="87" spans="2:19" ht="14.25" customHeight="1">
      <c r="B87" s="628"/>
      <c r="C87" s="628"/>
    </row>
    <row r="88" spans="2:19" s="608" customFormat="1" ht="14.25" customHeight="1">
      <c r="B88" s="638" t="s">
        <v>741</v>
      </c>
      <c r="C88" s="638"/>
      <c r="E88" s="609">
        <v>98</v>
      </c>
      <c r="Q88" s="639">
        <v>98</v>
      </c>
      <c r="R88" s="639"/>
    </row>
    <row r="89" spans="2:19" s="608" customFormat="1" ht="14.25" customHeight="1">
      <c r="B89" s="638"/>
      <c r="C89" s="638"/>
      <c r="S89" s="613">
        <f>SUM(Q88:R89)</f>
        <v>98</v>
      </c>
    </row>
    <row r="90" spans="2:19" ht="14.25" customHeight="1">
      <c r="B90" s="628" t="s">
        <v>742</v>
      </c>
      <c r="C90" s="628"/>
      <c r="E90" s="599">
        <v>18136</v>
      </c>
      <c r="G90" s="599">
        <v>1000</v>
      </c>
      <c r="I90" s="599">
        <v>1000</v>
      </c>
      <c r="Q90" s="629">
        <v>17136</v>
      </c>
      <c r="R90" s="629"/>
    </row>
    <row r="91" spans="2:19" ht="14.25" customHeight="1">
      <c r="B91" s="628"/>
      <c r="C91" s="628"/>
    </row>
    <row r="92" spans="2:19" ht="14.25" customHeight="1">
      <c r="B92" s="628"/>
      <c r="C92" s="628"/>
    </row>
    <row r="93" spans="2:19" s="604" customFormat="1" ht="14.25" customHeight="1">
      <c r="B93" s="636" t="s">
        <v>743</v>
      </c>
      <c r="C93" s="636"/>
      <c r="E93" s="605">
        <v>1887318</v>
      </c>
      <c r="G93" s="605">
        <v>1097827</v>
      </c>
      <c r="I93" s="605">
        <v>1097827</v>
      </c>
      <c r="Q93" s="637">
        <v>789491</v>
      </c>
      <c r="R93" s="637"/>
    </row>
    <row r="94" spans="2:19" s="604" customFormat="1" ht="14.25" customHeight="1">
      <c r="B94" s="636"/>
      <c r="C94" s="636"/>
      <c r="S94" s="611">
        <f>SUM(Q93:R94)</f>
        <v>789491</v>
      </c>
    </row>
    <row r="95" spans="2:19" s="606" customFormat="1" ht="14.25" customHeight="1">
      <c r="B95" s="634" t="s">
        <v>744</v>
      </c>
      <c r="C95" s="634"/>
      <c r="E95" s="607">
        <v>608691</v>
      </c>
      <c r="G95" s="607">
        <v>31895</v>
      </c>
      <c r="I95" s="607">
        <v>31895</v>
      </c>
      <c r="Q95" s="635">
        <v>576796</v>
      </c>
      <c r="R95" s="635"/>
    </row>
    <row r="96" spans="2:19" s="606" customFormat="1" ht="14.25" customHeight="1">
      <c r="B96" s="634"/>
      <c r="C96" s="634"/>
    </row>
    <row r="97" spans="2:18" s="606" customFormat="1" ht="14.25" customHeight="1">
      <c r="B97" s="634" t="s">
        <v>745</v>
      </c>
      <c r="C97" s="634"/>
      <c r="E97" s="607">
        <v>800000</v>
      </c>
      <c r="Q97" s="635">
        <v>800000</v>
      </c>
      <c r="R97" s="635"/>
    </row>
    <row r="98" spans="2:18" s="606" customFormat="1" ht="14.25" customHeight="1">
      <c r="B98" s="634"/>
      <c r="C98" s="634"/>
    </row>
    <row r="99" spans="2:18" s="606" customFormat="1" ht="14.25" customHeight="1">
      <c r="B99" s="634" t="s">
        <v>746</v>
      </c>
      <c r="C99" s="634"/>
      <c r="E99" s="607">
        <v>60000</v>
      </c>
      <c r="G99" s="607">
        <v>60000</v>
      </c>
      <c r="I99" s="607">
        <v>60000</v>
      </c>
    </row>
    <row r="100" spans="2:18" s="606" customFormat="1" ht="14.25" customHeight="1">
      <c r="B100" s="634"/>
      <c r="C100" s="634"/>
    </row>
    <row r="101" spans="2:18" s="606" customFormat="1" ht="14.25" customHeight="1">
      <c r="B101" s="634" t="s">
        <v>747</v>
      </c>
      <c r="C101" s="634"/>
      <c r="E101" s="607">
        <v>147639</v>
      </c>
      <c r="G101" s="607">
        <v>10000</v>
      </c>
      <c r="I101" s="607">
        <v>10000</v>
      </c>
      <c r="Q101" s="635">
        <v>137639</v>
      </c>
      <c r="R101" s="635"/>
    </row>
    <row r="102" spans="2:18" s="606" customFormat="1" ht="14.25" customHeight="1">
      <c r="B102" s="634"/>
      <c r="C102" s="634"/>
    </row>
    <row r="103" spans="2:18" s="606" customFormat="1" ht="14.25" customHeight="1">
      <c r="B103" s="634" t="s">
        <v>748</v>
      </c>
      <c r="C103" s="634"/>
      <c r="E103" s="607">
        <v>300000</v>
      </c>
      <c r="Q103" s="635">
        <v>300000</v>
      </c>
      <c r="R103" s="635"/>
    </row>
    <row r="104" spans="2:18" s="606" customFormat="1" ht="14.25" customHeight="1">
      <c r="B104" s="634"/>
      <c r="C104" s="634"/>
    </row>
    <row r="105" spans="2:18" s="606" customFormat="1" ht="14.25" customHeight="1">
      <c r="B105" s="634"/>
      <c r="C105" s="634"/>
    </row>
    <row r="106" spans="2:18" s="606" customFormat="1" ht="14.25" customHeight="1">
      <c r="B106" s="634" t="s">
        <v>749</v>
      </c>
      <c r="C106" s="634"/>
      <c r="E106" s="607">
        <v>91209</v>
      </c>
      <c r="G106" s="607">
        <v>20000</v>
      </c>
      <c r="I106" s="607">
        <v>20000</v>
      </c>
      <c r="Q106" s="635">
        <v>71209</v>
      </c>
      <c r="R106" s="635"/>
    </row>
    <row r="107" spans="2:18" s="606" customFormat="1" ht="14.25" customHeight="1">
      <c r="B107" s="634"/>
      <c r="C107" s="634"/>
    </row>
    <row r="108" spans="2:18" s="606" customFormat="1" ht="14.25" customHeight="1">
      <c r="B108" s="634" t="s">
        <v>750</v>
      </c>
      <c r="C108" s="634"/>
      <c r="E108" s="607">
        <v>800000</v>
      </c>
      <c r="Q108" s="635">
        <v>800000</v>
      </c>
      <c r="R108" s="635"/>
    </row>
    <row r="109" spans="2:18" s="606" customFormat="1" ht="14.25" customHeight="1">
      <c r="B109" s="634"/>
      <c r="C109" s="634"/>
    </row>
    <row r="110" spans="2:18" s="606" customFormat="1" ht="14.25" customHeight="1">
      <c r="B110" s="634"/>
      <c r="C110" s="634"/>
    </row>
    <row r="111" spans="2:18" s="606" customFormat="1" ht="14.25" customHeight="1">
      <c r="B111" s="634" t="s">
        <v>751</v>
      </c>
      <c r="C111" s="634"/>
      <c r="E111" s="607">
        <v>26000</v>
      </c>
      <c r="G111" s="607">
        <v>23000</v>
      </c>
      <c r="I111" s="607">
        <v>23000</v>
      </c>
      <c r="Q111" s="635">
        <v>3000</v>
      </c>
      <c r="R111" s="635"/>
    </row>
    <row r="112" spans="2:18" s="606" customFormat="1" ht="14.25" customHeight="1">
      <c r="B112" s="634"/>
      <c r="C112" s="634"/>
    </row>
    <row r="113" spans="2:20" s="606" customFormat="1" ht="14.25" customHeight="1">
      <c r="B113" s="634"/>
      <c r="C113" s="634"/>
    </row>
    <row r="114" spans="2:20" s="606" customFormat="1" ht="14.25" customHeight="1">
      <c r="B114" s="634" t="s">
        <v>752</v>
      </c>
      <c r="C114" s="634"/>
      <c r="E114" s="607">
        <v>102034</v>
      </c>
      <c r="G114" s="607">
        <v>1300</v>
      </c>
      <c r="I114" s="607">
        <v>1300</v>
      </c>
      <c r="Q114" s="635">
        <v>100734</v>
      </c>
      <c r="R114" s="635"/>
    </row>
    <row r="115" spans="2:20" s="606" customFormat="1" ht="14.25" customHeight="1">
      <c r="B115" s="634"/>
      <c r="C115" s="634"/>
    </row>
    <row r="116" spans="2:20" s="606" customFormat="1" ht="14.25" customHeight="1">
      <c r="B116" s="634" t="s">
        <v>753</v>
      </c>
      <c r="C116" s="634"/>
      <c r="E116" s="607">
        <v>18800</v>
      </c>
      <c r="Q116" s="635">
        <v>18800</v>
      </c>
      <c r="R116" s="635"/>
    </row>
    <row r="117" spans="2:20" s="606" customFormat="1" ht="14.25" customHeight="1">
      <c r="B117" s="634"/>
      <c r="C117" s="634"/>
      <c r="S117" s="612">
        <f>SUM(Q95:R117)-T117</f>
        <v>908178</v>
      </c>
      <c r="T117" s="612">
        <f>Q97+Q103+Q108</f>
        <v>1900000</v>
      </c>
    </row>
    <row r="118" spans="2:20" s="608" customFormat="1" ht="14.25" customHeight="1">
      <c r="B118" s="638" t="s">
        <v>754</v>
      </c>
      <c r="C118" s="638"/>
      <c r="E118" s="609">
        <v>348858</v>
      </c>
      <c r="G118" s="609">
        <v>348858</v>
      </c>
      <c r="I118" s="609">
        <v>348858</v>
      </c>
    </row>
    <row r="119" spans="2:20" s="608" customFormat="1" ht="14.25" customHeight="1">
      <c r="B119" s="638"/>
      <c r="C119" s="638"/>
    </row>
    <row r="120" spans="2:20" ht="14.25" customHeight="1">
      <c r="B120" s="628" t="s">
        <v>755</v>
      </c>
      <c r="C120" s="628"/>
      <c r="E120" s="599">
        <v>290420</v>
      </c>
      <c r="G120" s="599">
        <v>57693</v>
      </c>
      <c r="I120" s="599">
        <v>45957</v>
      </c>
      <c r="M120" s="640">
        <v>11736</v>
      </c>
      <c r="N120" s="640"/>
      <c r="O120" s="640"/>
      <c r="Q120" s="629">
        <v>244463</v>
      </c>
      <c r="R120" s="629"/>
    </row>
    <row r="121" spans="2:20" ht="14.25" customHeight="1">
      <c r="B121" s="628"/>
      <c r="C121" s="628"/>
    </row>
    <row r="122" spans="2:20" ht="14.25" customHeight="1">
      <c r="B122" s="628"/>
      <c r="C122" s="628"/>
    </row>
    <row r="123" spans="2:20" ht="14.25" customHeight="1">
      <c r="B123" s="628" t="s">
        <v>756</v>
      </c>
      <c r="C123" s="628"/>
      <c r="E123" s="599">
        <v>532255</v>
      </c>
      <c r="I123" s="599">
        <v>123577</v>
      </c>
      <c r="Q123" s="629">
        <v>408678</v>
      </c>
      <c r="R123" s="629"/>
    </row>
    <row r="124" spans="2:20" ht="14.25" customHeight="1">
      <c r="B124" s="628"/>
      <c r="C124" s="628"/>
    </row>
    <row r="125" spans="2:20" ht="14.25" customHeight="1">
      <c r="B125" s="628"/>
      <c r="C125" s="628"/>
    </row>
    <row r="126" spans="2:20" ht="14.25" customHeight="1">
      <c r="B126" s="628" t="s">
        <v>757</v>
      </c>
      <c r="C126" s="628"/>
      <c r="E126" s="599">
        <v>587</v>
      </c>
      <c r="Q126" s="629">
        <v>587</v>
      </c>
      <c r="R126" s="629"/>
    </row>
    <row r="127" spans="2:20" ht="14.25" customHeight="1">
      <c r="B127" s="628"/>
      <c r="C127" s="628"/>
    </row>
    <row r="128" spans="2:20" ht="14.25" customHeight="1">
      <c r="B128" s="628"/>
      <c r="C128" s="628"/>
    </row>
    <row r="129" spans="2:18" ht="14.25" customHeight="1">
      <c r="B129" s="628" t="s">
        <v>758</v>
      </c>
      <c r="C129" s="628"/>
      <c r="E129" s="599">
        <v>20898</v>
      </c>
      <c r="Q129" s="629">
        <v>20898</v>
      </c>
      <c r="R129" s="629"/>
    </row>
    <row r="130" spans="2:18" ht="14.25" customHeight="1">
      <c r="B130" s="628"/>
      <c r="C130" s="628"/>
    </row>
    <row r="131" spans="2:18" ht="14.25" customHeight="1">
      <c r="B131" s="628"/>
      <c r="C131" s="628"/>
    </row>
    <row r="132" spans="2:18" ht="14.25" customHeight="1">
      <c r="B132" s="628" t="s">
        <v>759</v>
      </c>
      <c r="C132" s="628"/>
      <c r="E132" s="599">
        <v>20000</v>
      </c>
      <c r="G132" s="599">
        <v>20000</v>
      </c>
      <c r="I132" s="599">
        <v>20000</v>
      </c>
    </row>
    <row r="133" spans="2:18" ht="14.25" customHeight="1">
      <c r="B133" s="628"/>
      <c r="C133" s="628"/>
    </row>
    <row r="134" spans="2:18" ht="14.25" customHeight="1">
      <c r="B134" s="628" t="s">
        <v>760</v>
      </c>
      <c r="C134" s="628"/>
      <c r="E134" s="599">
        <v>1800000</v>
      </c>
      <c r="G134" s="599">
        <v>1800000</v>
      </c>
      <c r="I134" s="599">
        <v>1800000</v>
      </c>
    </row>
    <row r="135" spans="2:18" ht="14.25" customHeight="1">
      <c r="B135" s="628"/>
      <c r="C135" s="628"/>
    </row>
    <row r="136" spans="2:18" ht="14.25" customHeight="1">
      <c r="B136" s="628"/>
      <c r="C136" s="628"/>
    </row>
    <row r="137" spans="2:18" ht="14.25" customHeight="1">
      <c r="B137" s="628" t="s">
        <v>761</v>
      </c>
      <c r="C137" s="628"/>
      <c r="E137" s="599">
        <v>10000</v>
      </c>
      <c r="G137" s="599">
        <v>10000</v>
      </c>
      <c r="I137" s="599">
        <v>10000</v>
      </c>
    </row>
    <row r="138" spans="2:18" ht="14.25" customHeight="1">
      <c r="B138" s="628"/>
      <c r="C138" s="628"/>
    </row>
    <row r="139" spans="2:18" ht="14.25" customHeight="1">
      <c r="B139" s="628"/>
      <c r="C139" s="628"/>
    </row>
    <row r="140" spans="2:18" ht="14.25" customHeight="1">
      <c r="B140" s="628" t="s">
        <v>762</v>
      </c>
      <c r="C140" s="628"/>
      <c r="E140" s="599">
        <v>10000</v>
      </c>
      <c r="G140" s="599">
        <v>10000</v>
      </c>
      <c r="I140" s="599">
        <v>10000</v>
      </c>
    </row>
    <row r="141" spans="2:18" ht="14.25" customHeight="1">
      <c r="B141" s="628"/>
      <c r="C141" s="628"/>
    </row>
    <row r="142" spans="2:18" ht="14.25" customHeight="1">
      <c r="B142" s="628"/>
      <c r="C142" s="628"/>
    </row>
    <row r="143" spans="2:18" ht="14.25" customHeight="1">
      <c r="B143" s="628" t="s">
        <v>763</v>
      </c>
      <c r="C143" s="628"/>
      <c r="E143" s="599">
        <v>10000</v>
      </c>
      <c r="G143" s="599">
        <v>10000</v>
      </c>
      <c r="I143" s="599">
        <v>10000</v>
      </c>
    </row>
    <row r="144" spans="2:18" ht="14.25" customHeight="1">
      <c r="B144" s="628"/>
      <c r="C144" s="628"/>
    </row>
    <row r="145" spans="2:18" ht="14.25" customHeight="1">
      <c r="B145" s="628"/>
      <c r="C145" s="628"/>
    </row>
    <row r="146" spans="2:18" ht="14.25" customHeight="1">
      <c r="B146" s="628" t="s">
        <v>764</v>
      </c>
      <c r="C146" s="628"/>
      <c r="E146" s="599">
        <v>20000</v>
      </c>
      <c r="G146" s="599">
        <v>20000</v>
      </c>
      <c r="I146" s="599">
        <v>20000</v>
      </c>
    </row>
    <row r="147" spans="2:18" ht="14.25" customHeight="1">
      <c r="B147" s="628"/>
      <c r="C147" s="628"/>
    </row>
    <row r="148" spans="2:18" ht="14.25" customHeight="1">
      <c r="B148" s="628"/>
      <c r="C148" s="628"/>
    </row>
    <row r="149" spans="2:18" ht="14.25" customHeight="1">
      <c r="B149" s="628" t="s">
        <v>765</v>
      </c>
      <c r="C149" s="628"/>
      <c r="E149" s="599">
        <v>20000</v>
      </c>
      <c r="Q149" s="629">
        <v>20000</v>
      </c>
      <c r="R149" s="629"/>
    </row>
    <row r="150" spans="2:18" ht="14.25" customHeight="1">
      <c r="B150" s="628"/>
      <c r="C150" s="628"/>
    </row>
    <row r="151" spans="2:18" ht="14.25" customHeight="1">
      <c r="B151" s="628"/>
      <c r="C151" s="628"/>
    </row>
    <row r="152" spans="2:18" ht="14.25" customHeight="1">
      <c r="B152" s="628" t="s">
        <v>766</v>
      </c>
      <c r="C152" s="628"/>
      <c r="E152" s="599">
        <v>20000</v>
      </c>
      <c r="G152" s="599">
        <v>20000</v>
      </c>
      <c r="I152" s="599">
        <v>20000</v>
      </c>
    </row>
    <row r="153" spans="2:18" ht="14.25" customHeight="1">
      <c r="B153" s="628"/>
      <c r="C153" s="628"/>
    </row>
    <row r="154" spans="2:18" ht="14.25" customHeight="1">
      <c r="B154" s="628"/>
      <c r="C154" s="628"/>
    </row>
    <row r="155" spans="2:18" ht="14.25" customHeight="1">
      <c r="B155" s="628" t="s">
        <v>767</v>
      </c>
      <c r="C155" s="628"/>
      <c r="E155" s="599">
        <v>7000</v>
      </c>
      <c r="I155" s="599">
        <v>7000</v>
      </c>
    </row>
    <row r="156" spans="2:18" ht="14.25" customHeight="1">
      <c r="B156" s="628"/>
      <c r="C156" s="628"/>
    </row>
    <row r="157" spans="2:18" ht="14.25" customHeight="1">
      <c r="B157" s="628"/>
      <c r="C157" s="628"/>
    </row>
    <row r="158" spans="2:18" ht="14.25" customHeight="1">
      <c r="B158" s="628" t="s">
        <v>768</v>
      </c>
      <c r="C158" s="628"/>
      <c r="E158" s="599">
        <v>20000</v>
      </c>
      <c r="Q158" s="629">
        <v>20000</v>
      </c>
      <c r="R158" s="629"/>
    </row>
    <row r="159" spans="2:18" ht="14.25" customHeight="1">
      <c r="B159" s="628"/>
      <c r="C159" s="628"/>
    </row>
    <row r="160" spans="2:18" ht="14.25" customHeight="1">
      <c r="B160" s="628"/>
      <c r="C160" s="628"/>
    </row>
    <row r="161" spans="2:18" ht="14.25" customHeight="1">
      <c r="B161" s="628" t="s">
        <v>769</v>
      </c>
      <c r="C161" s="628"/>
      <c r="E161" s="599">
        <v>200000</v>
      </c>
      <c r="Q161" s="629">
        <v>200000</v>
      </c>
      <c r="R161" s="629"/>
    </row>
    <row r="162" spans="2:18" ht="14.25" customHeight="1">
      <c r="B162" s="628"/>
      <c r="C162" s="628"/>
    </row>
    <row r="163" spans="2:18" ht="14.25" customHeight="1">
      <c r="B163" s="628"/>
      <c r="C163" s="628"/>
    </row>
    <row r="164" spans="2:18" ht="14.25" customHeight="1">
      <c r="B164" s="628" t="s">
        <v>770</v>
      </c>
      <c r="C164" s="628"/>
      <c r="E164" s="599">
        <v>1242</v>
      </c>
      <c r="Q164" s="629">
        <v>1242</v>
      </c>
      <c r="R164" s="629"/>
    </row>
    <row r="165" spans="2:18" ht="14.25" customHeight="1">
      <c r="B165" s="628"/>
      <c r="C165" s="628"/>
    </row>
    <row r="166" spans="2:18" ht="14.25" customHeight="1">
      <c r="B166" s="628"/>
      <c r="C166" s="628"/>
    </row>
    <row r="167" spans="2:18" ht="14.25" customHeight="1">
      <c r="B167" s="628" t="s">
        <v>771</v>
      </c>
      <c r="C167" s="628"/>
      <c r="E167" s="599">
        <v>15840</v>
      </c>
      <c r="Q167" s="629">
        <v>15840</v>
      </c>
      <c r="R167" s="629"/>
    </row>
    <row r="168" spans="2:18" ht="14.25" customHeight="1">
      <c r="B168" s="628"/>
      <c r="C168" s="628"/>
    </row>
    <row r="169" spans="2:18" ht="14.25" customHeight="1">
      <c r="B169" s="628"/>
      <c r="C169" s="628"/>
    </row>
    <row r="170" spans="2:18" ht="14.25" customHeight="1">
      <c r="B170" s="628" t="s">
        <v>772</v>
      </c>
      <c r="C170" s="628"/>
      <c r="E170" s="599">
        <v>77052</v>
      </c>
      <c r="G170" s="599">
        <v>59242</v>
      </c>
      <c r="I170" s="599">
        <v>59242</v>
      </c>
      <c r="Q170" s="629">
        <v>17810</v>
      </c>
      <c r="R170" s="629"/>
    </row>
    <row r="171" spans="2:18" ht="14.25" customHeight="1">
      <c r="B171" s="628"/>
      <c r="C171" s="628"/>
    </row>
    <row r="172" spans="2:18" ht="14.25" customHeight="1">
      <c r="B172" s="628"/>
      <c r="C172" s="628"/>
    </row>
    <row r="173" spans="2:18" ht="14.25" customHeight="1">
      <c r="B173" s="628" t="s">
        <v>773</v>
      </c>
      <c r="C173" s="628"/>
      <c r="E173" s="599">
        <v>7940</v>
      </c>
      <c r="Q173" s="629">
        <v>7940</v>
      </c>
      <c r="R173" s="629"/>
    </row>
    <row r="174" spans="2:18" ht="14.25" customHeight="1">
      <c r="B174" s="628"/>
      <c r="C174" s="628"/>
    </row>
    <row r="175" spans="2:18" ht="14.25" customHeight="1">
      <c r="B175" s="628"/>
      <c r="C175" s="628"/>
    </row>
    <row r="176" spans="2:18" ht="14.25" customHeight="1">
      <c r="B176" s="628" t="s">
        <v>774</v>
      </c>
      <c r="C176" s="628"/>
      <c r="E176" s="599">
        <v>78598</v>
      </c>
      <c r="Q176" s="629">
        <v>78598</v>
      </c>
      <c r="R176" s="629"/>
    </row>
    <row r="177" spans="2:18" ht="14.25" customHeight="1">
      <c r="B177" s="628"/>
      <c r="C177" s="628"/>
    </row>
    <row r="178" spans="2:18" ht="14.25" customHeight="1">
      <c r="B178" s="628"/>
      <c r="C178" s="628"/>
    </row>
    <row r="179" spans="2:18" ht="14.25" customHeight="1">
      <c r="B179" s="628" t="s">
        <v>775</v>
      </c>
      <c r="C179" s="628"/>
      <c r="E179" s="599">
        <v>1789232</v>
      </c>
      <c r="Q179" s="629">
        <v>1789232</v>
      </c>
      <c r="R179" s="629"/>
    </row>
    <row r="180" spans="2:18" ht="14.25" customHeight="1">
      <c r="B180" s="628"/>
      <c r="C180" s="628"/>
    </row>
    <row r="181" spans="2:18" ht="14.25" customHeight="1">
      <c r="B181" s="628"/>
      <c r="C181" s="628"/>
    </row>
    <row r="182" spans="2:18" ht="14.25" customHeight="1">
      <c r="B182" s="628" t="s">
        <v>776</v>
      </c>
      <c r="C182" s="628"/>
      <c r="E182" s="599">
        <v>18300</v>
      </c>
      <c r="Q182" s="629">
        <v>18300</v>
      </c>
      <c r="R182" s="629"/>
    </row>
    <row r="183" spans="2:18" ht="14.25" customHeight="1">
      <c r="B183" s="628"/>
      <c r="C183" s="628"/>
    </row>
    <row r="184" spans="2:18" ht="14.25" customHeight="1">
      <c r="B184" s="628"/>
      <c r="C184" s="628"/>
    </row>
    <row r="185" spans="2:18" ht="14.25" customHeight="1">
      <c r="B185" s="628" t="s">
        <v>777</v>
      </c>
      <c r="C185" s="628"/>
      <c r="E185" s="599">
        <v>7000</v>
      </c>
      <c r="Q185" s="629">
        <v>7000</v>
      </c>
      <c r="R185" s="629"/>
    </row>
    <row r="186" spans="2:18" ht="14.25" customHeight="1">
      <c r="B186" s="628"/>
      <c r="C186" s="628"/>
    </row>
    <row r="187" spans="2:18" ht="14.25" customHeight="1">
      <c r="B187" s="628"/>
      <c r="C187" s="628"/>
    </row>
    <row r="188" spans="2:18" ht="14.25" customHeight="1">
      <c r="B188" s="628" t="s">
        <v>778</v>
      </c>
      <c r="C188" s="628"/>
      <c r="E188" s="599">
        <v>17850</v>
      </c>
      <c r="Q188" s="629">
        <v>17850</v>
      </c>
      <c r="R188" s="629"/>
    </row>
    <row r="189" spans="2:18" ht="14.25" customHeight="1">
      <c r="B189" s="628"/>
      <c r="C189" s="628"/>
    </row>
    <row r="190" spans="2:18" ht="14.25" customHeight="1">
      <c r="B190" s="628"/>
      <c r="C190" s="628"/>
    </row>
    <row r="191" spans="2:18" ht="14.25" customHeight="1">
      <c r="B191" s="628" t="s">
        <v>779</v>
      </c>
      <c r="C191" s="628"/>
      <c r="E191" s="599">
        <v>15990</v>
      </c>
      <c r="Q191" s="629">
        <v>15990</v>
      </c>
      <c r="R191" s="629"/>
    </row>
    <row r="192" spans="2:18" ht="14.25" customHeight="1">
      <c r="B192" s="628"/>
      <c r="C192" s="628"/>
    </row>
    <row r="193" spans="2:18" ht="14.25" customHeight="1">
      <c r="B193" s="628"/>
      <c r="C193" s="628"/>
    </row>
    <row r="194" spans="2:18" ht="12" customHeight="1">
      <c r="B194" s="600" t="s">
        <v>780</v>
      </c>
      <c r="E194" s="601">
        <v>23088871</v>
      </c>
      <c r="G194" s="601">
        <v>15650615</v>
      </c>
      <c r="I194" s="601">
        <v>16237147</v>
      </c>
      <c r="M194" s="641">
        <v>11736</v>
      </c>
      <c r="N194" s="641"/>
      <c r="O194" s="641"/>
      <c r="Q194" s="641">
        <v>6851724</v>
      </c>
      <c r="R194" s="641"/>
    </row>
    <row r="195" spans="2:18" ht="120" customHeight="1"/>
  </sheetData>
  <mergeCells count="135">
    <mergeCell ref="B191:C193"/>
    <mergeCell ref="Q191:R191"/>
    <mergeCell ref="M194:O194"/>
    <mergeCell ref="Q194:R194"/>
    <mergeCell ref="B185:C187"/>
    <mergeCell ref="Q185:R185"/>
    <mergeCell ref="B188:C190"/>
    <mergeCell ref="Q188:R188"/>
    <mergeCell ref="B179:C181"/>
    <mergeCell ref="Q179:R179"/>
    <mergeCell ref="B182:C184"/>
    <mergeCell ref="Q182:R182"/>
    <mergeCell ref="B173:C175"/>
    <mergeCell ref="Q173:R173"/>
    <mergeCell ref="B176:C178"/>
    <mergeCell ref="Q176:R176"/>
    <mergeCell ref="B167:C169"/>
    <mergeCell ref="Q167:R167"/>
    <mergeCell ref="B170:C172"/>
    <mergeCell ref="Q170:R170"/>
    <mergeCell ref="B161:C163"/>
    <mergeCell ref="Q161:R161"/>
    <mergeCell ref="B164:C166"/>
    <mergeCell ref="Q164:R164"/>
    <mergeCell ref="B152:C154"/>
    <mergeCell ref="B155:C157"/>
    <mergeCell ref="B158:C160"/>
    <mergeCell ref="Q158:R158"/>
    <mergeCell ref="B137:C139"/>
    <mergeCell ref="B140:C142"/>
    <mergeCell ref="B143:C145"/>
    <mergeCell ref="B146:C148"/>
    <mergeCell ref="B149:C151"/>
    <mergeCell ref="Q149:R149"/>
    <mergeCell ref="B129:C131"/>
    <mergeCell ref="Q129:R129"/>
    <mergeCell ref="B132:C133"/>
    <mergeCell ref="B134:C136"/>
    <mergeCell ref="B123:C125"/>
    <mergeCell ref="Q123:R123"/>
    <mergeCell ref="B126:C128"/>
    <mergeCell ref="Q126:R126"/>
    <mergeCell ref="B116:C117"/>
    <mergeCell ref="Q116:R116"/>
    <mergeCell ref="B118:C119"/>
    <mergeCell ref="B120:C122"/>
    <mergeCell ref="M120:O120"/>
    <mergeCell ref="Q120:R120"/>
    <mergeCell ref="B111:C113"/>
    <mergeCell ref="Q111:R111"/>
    <mergeCell ref="B114:C115"/>
    <mergeCell ref="Q114:R114"/>
    <mergeCell ref="B106:C107"/>
    <mergeCell ref="Q106:R106"/>
    <mergeCell ref="B108:C110"/>
    <mergeCell ref="Q108:R108"/>
    <mergeCell ref="B99:C100"/>
    <mergeCell ref="B101:C102"/>
    <mergeCell ref="Q101:R101"/>
    <mergeCell ref="B103:C105"/>
    <mergeCell ref="Q103:R103"/>
    <mergeCell ref="B95:C96"/>
    <mergeCell ref="Q95:R95"/>
    <mergeCell ref="B97:C98"/>
    <mergeCell ref="Q97:R97"/>
    <mergeCell ref="B90:C92"/>
    <mergeCell ref="Q90:R90"/>
    <mergeCell ref="B93:C94"/>
    <mergeCell ref="Q93:R93"/>
    <mergeCell ref="B86:C87"/>
    <mergeCell ref="Q86:R86"/>
    <mergeCell ref="B88:C89"/>
    <mergeCell ref="Q88:R88"/>
    <mergeCell ref="B79:C81"/>
    <mergeCell ref="B82:C83"/>
    <mergeCell ref="Q82:R82"/>
    <mergeCell ref="B84:C85"/>
    <mergeCell ref="Q84:R84"/>
    <mergeCell ref="B73:C74"/>
    <mergeCell ref="B75:C76"/>
    <mergeCell ref="Q75:R75"/>
    <mergeCell ref="B77:C78"/>
    <mergeCell ref="B69:C70"/>
    <mergeCell ref="Q69:R69"/>
    <mergeCell ref="B71:C72"/>
    <mergeCell ref="Q71:R71"/>
    <mergeCell ref="Q63:R63"/>
    <mergeCell ref="B65:C66"/>
    <mergeCell ref="B67:C68"/>
    <mergeCell ref="Q67:R67"/>
    <mergeCell ref="B53:C54"/>
    <mergeCell ref="B55:C56"/>
    <mergeCell ref="B57:C58"/>
    <mergeCell ref="B59:C60"/>
    <mergeCell ref="B61:C62"/>
    <mergeCell ref="B63:C64"/>
    <mergeCell ref="B49:C50"/>
    <mergeCell ref="Q49:R49"/>
    <mergeCell ref="B51:C52"/>
    <mergeCell ref="Q51:R51"/>
    <mergeCell ref="B37:C38"/>
    <mergeCell ref="B39:C40"/>
    <mergeCell ref="B41:C42"/>
    <mergeCell ref="B43:C44"/>
    <mergeCell ref="B45:C46"/>
    <mergeCell ref="B47:C48"/>
    <mergeCell ref="B33:C34"/>
    <mergeCell ref="Q33:R33"/>
    <mergeCell ref="B35:C36"/>
    <mergeCell ref="Q35:R35"/>
    <mergeCell ref="B27:C28"/>
    <mergeCell ref="Q27:R27"/>
    <mergeCell ref="B29:C30"/>
    <mergeCell ref="B31:C32"/>
    <mergeCell ref="B21:C22"/>
    <mergeCell ref="B23:C24"/>
    <mergeCell ref="B25:C26"/>
    <mergeCell ref="Q25:R25"/>
    <mergeCell ref="B15:C16"/>
    <mergeCell ref="B17:C18"/>
    <mergeCell ref="B19:C20"/>
    <mergeCell ref="Q19:R19"/>
    <mergeCell ref="Q7:R9"/>
    <mergeCell ref="B11:C12"/>
    <mergeCell ref="B13:C14"/>
    <mergeCell ref="Q13:R13"/>
    <mergeCell ref="A3:R3"/>
    <mergeCell ref="A4:R4"/>
    <mergeCell ref="A5:R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10"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26" t="s">
        <v>338</v>
      </c>
      <c r="B1" s="626"/>
    </row>
    <row r="2" spans="1:8">
      <c r="A2" s="627" t="s">
        <v>339</v>
      </c>
      <c r="B2" s="626"/>
    </row>
    <row r="3" spans="1:8">
      <c r="A3" s="626" t="s">
        <v>340</v>
      </c>
      <c r="B3" s="626"/>
    </row>
    <row r="4" spans="1:8" ht="28.5">
      <c r="A4" s="626" t="s">
        <v>341</v>
      </c>
      <c r="B4" s="626"/>
      <c r="C4" s="181" t="s">
        <v>342</v>
      </c>
      <c r="D4" s="193" t="s">
        <v>343</v>
      </c>
      <c r="E4" s="161" t="s">
        <v>344</v>
      </c>
      <c r="F4" s="193" t="s">
        <v>345</v>
      </c>
    </row>
    <row r="5" spans="1:8">
      <c r="A5" s="627" t="s">
        <v>346</v>
      </c>
      <c r="B5" s="626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4788640</v>
      </c>
    </row>
    <row r="6" spans="1:8" ht="15" thickBot="1">
      <c r="A6" s="624" t="s">
        <v>347</v>
      </c>
      <c r="B6" s="625"/>
      <c r="C6" s="180" t="s">
        <v>348</v>
      </c>
      <c r="D6" s="195">
        <f>VLOOKUP("銀行存款-縣庫存款",平衡!$E$13:$H$41,4,0)+VLOOKUP("零用及週轉金",平衡!$D$13:$H$41,5,0)</f>
        <v>3567451</v>
      </c>
      <c r="E6" s="195">
        <f>VLOOKUP("淨資產",平衡!$K$13:$U$64,10,0)+C5-VLOOKUP("固定資產",平衡!$B$13:$H$41,7,0)</f>
        <v>3567451</v>
      </c>
      <c r="F6" s="166" t="s">
        <v>349</v>
      </c>
    </row>
    <row r="7" spans="1:8" ht="15" thickBot="1">
      <c r="A7" s="624" t="s">
        <v>350</v>
      </c>
      <c r="B7" s="625"/>
      <c r="C7" s="180" t="s">
        <v>351</v>
      </c>
      <c r="D7" s="195">
        <f>VLOOKUP("銀行存款-專戶存款",平衡!$E$13:$H$41,4,0)+VLOOKUP("其他預付款",平衡!$D$13:$H$41,5,0)</f>
        <v>6851724</v>
      </c>
      <c r="E7" s="195" t="e">
        <f>VLOOKUP("應付代收款",平衡!$N$13:$U$41,7,0)+VLOOKUP("存入保證金",平衡!$N$13:$U$41,7,0)</f>
        <v>#N/A</v>
      </c>
      <c r="F7" s="166" t="s">
        <v>352</v>
      </c>
    </row>
    <row r="8" spans="1:8" ht="20.25" thickBot="1">
      <c r="A8" s="77" t="s">
        <v>124</v>
      </c>
      <c r="B8" s="78" t="s">
        <v>125</v>
      </c>
      <c r="C8" s="180" t="s">
        <v>353</v>
      </c>
      <c r="D8" s="196">
        <f>VLOOKUP("合計：",平衡!$A$13:$H$41,8,0)</f>
        <v>53807960</v>
      </c>
      <c r="E8" s="196" t="e">
        <f>VLOOKUP("合計：",平衡!$K$13:$U$41,10,0)</f>
        <v>#N/A</v>
      </c>
    </row>
    <row r="9" spans="1:8" ht="17.25" thickBot="1">
      <c r="A9" s="456" t="s">
        <v>126</v>
      </c>
      <c r="B9" s="74" t="s">
        <v>127</v>
      </c>
      <c r="C9" s="180" t="s">
        <v>354</v>
      </c>
      <c r="D9" s="196">
        <f>VLOOKUP("基金用途",餘絀表!$C$16:$T$45,18,0)</f>
        <v>26785086</v>
      </c>
      <c r="E9" s="196">
        <f>VLOOKUP("合       計",各項費用!$D$12:$Q$86,14)</f>
        <v>26785086</v>
      </c>
      <c r="F9" s="196">
        <f>縣庫對帳!P3</f>
        <v>26785086</v>
      </c>
    </row>
    <row r="10" spans="1:8" ht="33.75" thickBot="1">
      <c r="A10" s="456" t="s">
        <v>128</v>
      </c>
      <c r="B10" s="74" t="s">
        <v>129</v>
      </c>
      <c r="C10" s="180" t="s">
        <v>355</v>
      </c>
      <c r="D10" s="196">
        <f>VLOOKUP("基金來源",餘絀表!$C$16:$T$45,18,0)</f>
        <v>28610974</v>
      </c>
      <c r="E10" s="196">
        <f>縣庫對帳!N3</f>
        <v>28610974</v>
      </c>
      <c r="F10" s="196"/>
      <c r="G10" s="196"/>
      <c r="H10" s="183" t="e">
        <f>D13-E13</f>
        <v>#N/A</v>
      </c>
    </row>
    <row r="11" spans="1:8" ht="27" customHeight="1">
      <c r="A11" s="619" t="s">
        <v>27</v>
      </c>
      <c r="B11" s="619" t="s">
        <v>130</v>
      </c>
      <c r="C11" s="180" t="s">
        <v>356</v>
      </c>
      <c r="D11" s="196">
        <f>VLOOKUP("政府撥入收入",餘絀表!$C$16:$T$45,18,0)</f>
        <v>28603013</v>
      </c>
      <c r="E11" s="196"/>
      <c r="F11" s="196">
        <f>VLOOKUP("政府撥入收入",收支!$B$14:$N$61,13,0)</f>
        <v>28603013</v>
      </c>
      <c r="G11" s="196">
        <f>VLOOKUP("政府撥入收入",對照表!$B$1:$E$28,4,0)</f>
        <v>28603013</v>
      </c>
    </row>
    <row r="12" spans="1:8" ht="28.5">
      <c r="A12" s="622"/>
      <c r="B12" s="622"/>
      <c r="C12" s="180" t="s">
        <v>357</v>
      </c>
      <c r="D12" s="196"/>
      <c r="E12" s="196"/>
      <c r="F12" s="196">
        <f>VLOOKUP("收入",收支!$A$14:$N$61,14,0)</f>
        <v>33119710</v>
      </c>
      <c r="G12" s="196">
        <f>VLOOKUP("基金來源",對照表!$A$1:$E$28,5,0)</f>
        <v>33119710</v>
      </c>
    </row>
    <row r="13" spans="1:8">
      <c r="A13" s="622"/>
      <c r="B13" s="622"/>
      <c r="C13" s="180" t="s">
        <v>358</v>
      </c>
      <c r="D13" s="196" t="e">
        <f>IF(封面!J10=12,0,VLOOKUP($G$13,平衡!$N$13:$U$41,7,0))</f>
        <v>#N/A</v>
      </c>
      <c r="E13" s="196">
        <f>VLOOKUP("本期賸餘（短絀）",收支!$A$14:$N$50,14,0)</f>
        <v>4176404</v>
      </c>
      <c r="F13" s="196">
        <f>VLOOKUP("本期賸餘(短絀)",對照表!$A$1:$E$28,5,0)</f>
        <v>4176404</v>
      </c>
      <c r="G13" s="194" t="str">
        <f>IF(E13&gt;=0,"本期賸餘","本期短絀")</f>
        <v>本期賸餘</v>
      </c>
    </row>
    <row r="14" spans="1:8">
      <c r="A14" s="622"/>
      <c r="B14" s="622"/>
      <c r="C14" s="180" t="s">
        <v>359</v>
      </c>
      <c r="D14" s="196">
        <f>IF(封面!J10=12,0,VLOOKUP("本期賸餘(短絀－)",餘絀表!$C$16:$T$48,18,0))</f>
        <v>1825888</v>
      </c>
      <c r="E14" s="196"/>
      <c r="F14" s="196">
        <f>IF(封面!J10=12,0,VLOOKUP("本期賸餘(短絀)",對照表!$A$1:$C$28,3,0))</f>
        <v>1825888</v>
      </c>
      <c r="G14" s="194"/>
    </row>
    <row r="15" spans="1:8">
      <c r="A15" s="622"/>
      <c r="B15" s="622"/>
      <c r="C15" s="180" t="s">
        <v>360</v>
      </c>
      <c r="D15" s="196">
        <f>IF(封面!J12=12,0,VLOOKUP($G$15,平衡!$K$13:$U$41,10,0))</f>
        <v>46956236</v>
      </c>
      <c r="E15" s="196">
        <f>IF(封面!J12=12,0,VLOOKUP("期末淨資產",收支!$A$14:$N$50,14,0))</f>
        <v>46956236</v>
      </c>
      <c r="F15" s="196">
        <f>IF(封面!K12=12,0,VLOOKUP("期末基金餘額",對照表!$A$1:$E$40,5,0))</f>
        <v>46956236</v>
      </c>
      <c r="G15" s="194" t="s">
        <v>360</v>
      </c>
    </row>
    <row r="16" spans="1:8" ht="15" thickBot="1">
      <c r="A16" s="623"/>
      <c r="B16" s="623"/>
      <c r="C16" s="180" t="s">
        <v>361</v>
      </c>
      <c r="D16" s="196">
        <f>VLOOKUP("國民教育計畫",主要業務!$B$15:$J$24,7,0)</f>
        <v>5164543</v>
      </c>
      <c r="E16" s="196">
        <f>VLOOKUP("國民教育計畫",餘絀表!$C$16:$T$45,8,0)</f>
        <v>5164543</v>
      </c>
    </row>
    <row r="17" spans="1:10">
      <c r="A17" s="619" t="s">
        <v>142</v>
      </c>
      <c r="B17" s="619" t="s">
        <v>131</v>
      </c>
      <c r="C17" s="180" t="s">
        <v>362</v>
      </c>
      <c r="D17" s="196">
        <f>主要業務!H17</f>
        <v>26785086</v>
      </c>
      <c r="E17" s="196">
        <f>VLOOKUP("國民教育計畫",餘絀表!$C$16:$T$45,18,0)</f>
        <v>26785086</v>
      </c>
    </row>
    <row r="18" spans="1:10">
      <c r="A18" s="620"/>
      <c r="B18" s="622"/>
      <c r="C18" s="180" t="s">
        <v>363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20"/>
      <c r="B19" s="622"/>
      <c r="C19" s="180" t="s">
        <v>364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20"/>
      <c r="B20" s="622"/>
      <c r="C20" s="180" t="s">
        <v>365</v>
      </c>
      <c r="D20" s="196">
        <f>VLOOKUP("用人費用",各項費用!$F$12:$Q$100,12,0)</f>
        <v>25724025</v>
      </c>
      <c r="E20" s="196">
        <f>VLOOKUP("人事支出",收支!$B$14:$N$61,13,0)</f>
        <v>25724025</v>
      </c>
      <c r="F20" s="196">
        <f>VLOOKUP("用人費用",對照表!$B$1:$E$28,4,0)</f>
        <v>25724025</v>
      </c>
    </row>
    <row r="21" spans="1:10">
      <c r="A21" s="620"/>
      <c r="B21" s="622"/>
      <c r="C21" s="180" t="s">
        <v>366</v>
      </c>
      <c r="D21" s="196">
        <f>IF(E21=0,0,資產!F10+H21-H22)</f>
        <v>2157571</v>
      </c>
      <c r="E21" s="196">
        <f>VLOOKUP("折舊、折耗及攤銷",收支!$B$14:$N$61,13,0)</f>
        <v>2157571</v>
      </c>
      <c r="F21" s="196">
        <f>VLOOKUP("折舊、折耗及攤銷",對照表!$H$1:$J$28,3,0)</f>
        <v>2157571</v>
      </c>
      <c r="G21" s="452" t="s">
        <v>367</v>
      </c>
      <c r="H21" s="453">
        <v>64274</v>
      </c>
    </row>
    <row r="22" spans="1:10">
      <c r="A22" s="620"/>
      <c r="B22" s="622"/>
      <c r="C22" s="462"/>
      <c r="D22" s="183"/>
      <c r="E22" s="183"/>
      <c r="F22" s="183"/>
      <c r="G22" s="548" t="s">
        <v>445</v>
      </c>
      <c r="H22" s="463">
        <f>57720+16086</f>
        <v>73806</v>
      </c>
    </row>
    <row r="23" spans="1:10">
      <c r="A23" s="620"/>
      <c r="B23" s="645"/>
      <c r="C23" s="480"/>
      <c r="D23" s="550" t="str">
        <f>封面!H10&amp;封面!I10&amp;封面!J10&amp;封面!K10&amp;"會計報告各帳戶存款餘額"</f>
        <v>112年8月會計報告各帳戶存款餘額</v>
      </c>
      <c r="E23" s="553"/>
      <c r="F23" s="551"/>
      <c r="G23" s="481" t="s">
        <v>368</v>
      </c>
      <c r="H23" s="482"/>
    </row>
    <row r="24" spans="1:10">
      <c r="A24" s="620"/>
      <c r="B24" s="645"/>
      <c r="C24" s="480"/>
      <c r="D24" s="483" t="s">
        <v>369</v>
      </c>
      <c r="E24" s="484" t="s">
        <v>370</v>
      </c>
      <c r="F24" s="485" t="s">
        <v>371</v>
      </c>
      <c r="G24" s="486"/>
      <c r="H24" s="486"/>
      <c r="I24" s="161"/>
    </row>
    <row r="25" spans="1:10">
      <c r="A25" s="620"/>
      <c r="B25" s="645"/>
      <c r="C25" s="487" t="s">
        <v>372</v>
      </c>
      <c r="D25" s="487">
        <f>代收款!S14</f>
        <v>3</v>
      </c>
      <c r="E25" s="487"/>
      <c r="F25" s="488">
        <f t="shared" ref="F25" si="0">SUM(D25:E25)</f>
        <v>3</v>
      </c>
      <c r="G25" s="488"/>
      <c r="H25" s="489"/>
      <c r="I25" s="161"/>
    </row>
    <row r="26" spans="1:10" ht="15" thickBot="1">
      <c r="A26" s="621"/>
      <c r="B26" s="646"/>
      <c r="C26" s="487" t="s">
        <v>373</v>
      </c>
      <c r="D26" s="491">
        <f>F26</f>
        <v>3160272</v>
      </c>
      <c r="E26" s="490"/>
      <c r="F26" s="492">
        <f>F31-SUM(F25,F27:F30)</f>
        <v>3160272</v>
      </c>
      <c r="G26" s="488"/>
      <c r="H26" s="489"/>
      <c r="I26" s="161"/>
    </row>
    <row r="27" spans="1:10" ht="17.25" thickBot="1">
      <c r="A27" s="456" t="s">
        <v>132</v>
      </c>
      <c r="B27" s="479" t="s">
        <v>143</v>
      </c>
      <c r="C27" s="487" t="s">
        <v>300</v>
      </c>
      <c r="D27" s="566">
        <f>代收款!S94</f>
        <v>789491</v>
      </c>
      <c r="E27" s="566"/>
      <c r="F27" s="488">
        <f t="shared" ref="F27:F28" si="1">SUM(D27:E27)</f>
        <v>789491</v>
      </c>
      <c r="G27" s="488"/>
      <c r="H27" s="489"/>
      <c r="I27" s="161"/>
    </row>
    <row r="28" spans="1:10" ht="16.899999999999999" customHeight="1" thickBot="1">
      <c r="A28" s="456" t="s">
        <v>66</v>
      </c>
      <c r="B28" s="479" t="s">
        <v>133</v>
      </c>
      <c r="C28" s="487" t="s">
        <v>303</v>
      </c>
      <c r="D28" s="566">
        <f>代收款!S117</f>
        <v>908178</v>
      </c>
      <c r="E28" s="566">
        <f>代收款!T117</f>
        <v>1900000</v>
      </c>
      <c r="F28" s="488">
        <f t="shared" si="1"/>
        <v>2808178</v>
      </c>
      <c r="G28" s="488"/>
      <c r="H28" s="489"/>
      <c r="I28" s="161"/>
      <c r="J28" s="163"/>
    </row>
    <row r="29" spans="1:10" ht="17.25" thickBot="1">
      <c r="A29" s="456" t="s">
        <v>134</v>
      </c>
      <c r="B29" s="479" t="s">
        <v>135</v>
      </c>
      <c r="C29" s="487" t="s">
        <v>302</v>
      </c>
      <c r="D29" s="490"/>
      <c r="E29" s="490"/>
      <c r="F29" s="488">
        <f>SUM(D29:E29)</f>
        <v>0</v>
      </c>
      <c r="G29" s="488"/>
      <c r="H29" s="489"/>
      <c r="I29" s="161"/>
    </row>
    <row r="30" spans="1:10">
      <c r="A30" s="619" t="s">
        <v>136</v>
      </c>
      <c r="B30" s="644" t="s">
        <v>137</v>
      </c>
      <c r="C30" s="487" t="s">
        <v>374</v>
      </c>
      <c r="D30" s="490">
        <f>代收款!S89+代收款!S119</f>
        <v>98</v>
      </c>
      <c r="E30" s="490"/>
      <c r="F30" s="488">
        <f>SUM(D30:E30)</f>
        <v>98</v>
      </c>
      <c r="G30" s="488"/>
      <c r="H30" s="489"/>
      <c r="I30" s="161"/>
    </row>
    <row r="31" spans="1:10">
      <c r="A31" s="622"/>
      <c r="B31" s="645"/>
      <c r="C31" s="493" t="s">
        <v>375</v>
      </c>
      <c r="D31" s="494">
        <f>SUM(D25:D30)</f>
        <v>4858042</v>
      </c>
      <c r="E31" s="494">
        <f>SUM(E25:E30)</f>
        <v>1900000</v>
      </c>
      <c r="F31" s="492">
        <f>VLOOKUP("銀行存款-專戶存款",平衡!$E$13:$H$40,4,0)</f>
        <v>6758042</v>
      </c>
      <c r="G31" s="495">
        <f>SUM(G25:G30)</f>
        <v>0</v>
      </c>
      <c r="H31" s="489"/>
      <c r="I31" s="161"/>
    </row>
    <row r="32" spans="1:10" ht="15" thickBot="1">
      <c r="A32" s="621"/>
      <c r="B32" s="621"/>
      <c r="C32" s="493" t="s">
        <v>443</v>
      </c>
      <c r="D32" s="642">
        <f>SUM(D31:E31)</f>
        <v>6758042</v>
      </c>
      <c r="E32" s="643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6" t="s">
        <v>139</v>
      </c>
      <c r="B38" s="74" t="s">
        <v>159</v>
      </c>
    </row>
    <row r="39" spans="1:9" ht="33.75" thickBot="1">
      <c r="A39" s="456" t="s">
        <v>126</v>
      </c>
      <c r="B39" s="74" t="s">
        <v>160</v>
      </c>
    </row>
    <row r="40" spans="1:9" ht="17.25" thickBot="1">
      <c r="A40" s="456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1" sqref="J11"/>
    </sheetView>
  </sheetViews>
  <sheetFormatPr defaultColWidth="9.140625" defaultRowHeight="14.25"/>
  <cols>
    <col min="1" max="6" width="9.140625" style="570"/>
    <col min="7" max="7" width="10.42578125" style="570" bestFit="1" customWidth="1"/>
    <col min="8" max="8" width="14" style="570" customWidth="1"/>
    <col min="9" max="9" width="9.28515625" style="570" bestFit="1" customWidth="1"/>
    <col min="10" max="10" width="9.140625" style="570"/>
    <col min="11" max="12" width="6.85546875" style="570" bestFit="1" customWidth="1"/>
    <col min="13" max="13" width="11.85546875" style="570" customWidth="1"/>
    <col min="14" max="14" width="9.140625" style="570"/>
    <col min="15" max="15" width="11.7109375" style="570" bestFit="1" customWidth="1"/>
    <col min="16" max="16384" width="9.140625" style="570"/>
  </cols>
  <sheetData>
    <row r="1" spans="1:15" ht="36.75">
      <c r="A1" s="569" t="s">
        <v>279</v>
      </c>
    </row>
    <row r="4" spans="1:15" ht="36.75">
      <c r="A4" s="647" t="s">
        <v>278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</row>
    <row r="5" spans="1:15" ht="59.25" customHeight="1"/>
    <row r="6" spans="1:15" ht="59.25" customHeight="1"/>
    <row r="7" spans="1:15" ht="36.75">
      <c r="C7" s="649" t="s">
        <v>117</v>
      </c>
      <c r="D7" s="649"/>
      <c r="E7" s="649"/>
      <c r="F7" s="649"/>
      <c r="G7" s="649"/>
      <c r="H7" s="649"/>
      <c r="I7" s="649"/>
      <c r="J7" s="649"/>
      <c r="K7" s="649"/>
      <c r="L7" s="649"/>
    </row>
    <row r="8" spans="1:15" ht="51.75" customHeight="1"/>
    <row r="9" spans="1:15" ht="51.75" customHeight="1">
      <c r="O9" s="577">
        <f>IF(MOD(H10+1911,4)=0,1,0)</f>
        <v>0</v>
      </c>
    </row>
    <row r="10" spans="1:15" s="571" customFormat="1" ht="32.25">
      <c r="C10" s="572"/>
      <c r="D10" s="572"/>
      <c r="E10" s="651" t="s">
        <v>118</v>
      </c>
      <c r="F10" s="651"/>
      <c r="G10" s="651"/>
      <c r="H10" s="571">
        <v>112</v>
      </c>
      <c r="I10" s="571" t="s">
        <v>119</v>
      </c>
      <c r="J10" s="571">
        <v>8</v>
      </c>
      <c r="K10" s="573" t="s">
        <v>120</v>
      </c>
      <c r="L10" s="574" t="s">
        <v>123</v>
      </c>
      <c r="O10" s="578">
        <f>_xlfn.IFS(J10=1,31,J10=2,28+O9,J10=3,31,J10=4,30,J10=5,31,J10=6,30,J10=7,31,J10=8,31,J10=9,30,J10=10,31,J10=11,30,J10=12,31)</f>
        <v>31</v>
      </c>
    </row>
    <row r="15" spans="1:15" s="575" customFormat="1" ht="34.5" customHeight="1">
      <c r="B15" s="650" t="s">
        <v>121</v>
      </c>
      <c r="C15" s="650"/>
      <c r="D15" s="650"/>
      <c r="E15" s="650"/>
      <c r="F15" s="650"/>
      <c r="H15" s="576"/>
      <c r="I15" s="576" t="s">
        <v>122</v>
      </c>
      <c r="J15" s="576"/>
      <c r="K15" s="576"/>
      <c r="L15" s="576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A26" sqref="A26:XFD26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10.7109375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55"/>
      <c r="AF1" s="655"/>
      <c r="AG1" s="655"/>
      <c r="AH1" s="655"/>
      <c r="AI1" s="655"/>
    </row>
    <row r="2" spans="2:35" ht="9" customHeight="1">
      <c r="B2" s="466"/>
      <c r="C2" s="659" t="str">
        <f>[1]封面!$A$4</f>
        <v>彰化縣地方教育發展基金－彰化縣秀水鄉馬興國民小學</v>
      </c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  <c r="V2" s="659"/>
      <c r="W2" s="659"/>
      <c r="X2" s="659"/>
      <c r="Y2" s="659"/>
      <c r="Z2" s="659"/>
      <c r="AA2" s="659"/>
      <c r="AB2" s="659"/>
      <c r="AC2" s="659"/>
      <c r="AD2" s="659"/>
      <c r="AE2" s="655"/>
      <c r="AF2" s="655"/>
      <c r="AG2" s="655"/>
      <c r="AH2" s="655"/>
      <c r="AI2" s="655"/>
    </row>
    <row r="3" spans="2:35" ht="18" customHeight="1">
      <c r="B3" s="466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  <c r="W3" s="659"/>
      <c r="X3" s="659"/>
      <c r="Y3" s="659"/>
      <c r="Z3" s="659"/>
      <c r="AA3" s="659"/>
      <c r="AB3" s="659"/>
      <c r="AC3" s="659"/>
      <c r="AD3" s="659"/>
    </row>
    <row r="4" spans="2:35" ht="24" customHeight="1">
      <c r="B4" s="656" t="s">
        <v>9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</row>
    <row r="5" spans="2:35" ht="7.5" customHeight="1">
      <c r="C5" s="657" t="str">
        <f>封面!$E$10&amp;封面!$H$10&amp;封面!$I$10&amp;封面!$J$10&amp;封面!$K$10&amp;封面!L10</f>
        <v>中華民國112年8月份</v>
      </c>
      <c r="D5" s="657"/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</row>
    <row r="6" spans="2:35" ht="13.9" customHeight="1">
      <c r="C6" s="657"/>
      <c r="D6" s="657"/>
      <c r="E6" s="657"/>
      <c r="F6" s="657"/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  <c r="W6" s="657"/>
      <c r="X6" s="657"/>
      <c r="Y6" s="657"/>
      <c r="Z6" s="657"/>
      <c r="AA6" s="657"/>
      <c r="AB6" s="657"/>
      <c r="AC6" s="657"/>
      <c r="AD6" s="657"/>
    </row>
    <row r="7" spans="2:35" ht="16.149999999999999" customHeight="1">
      <c r="Y7" s="658" t="s">
        <v>1</v>
      </c>
      <c r="Z7" s="658"/>
      <c r="AA7" s="658"/>
      <c r="AB7" s="658"/>
      <c r="AC7" s="658"/>
      <c r="AD7" s="658"/>
    </row>
    <row r="8" spans="2:35" ht="3.75" customHeight="1"/>
    <row r="9" spans="2:35" s="83" customFormat="1" ht="12.75" customHeight="1">
      <c r="C9" s="652" t="s">
        <v>376</v>
      </c>
      <c r="D9" s="652"/>
      <c r="E9" s="465"/>
      <c r="F9" s="465"/>
      <c r="G9" s="671" t="s">
        <v>447</v>
      </c>
      <c r="H9" s="465"/>
      <c r="I9" s="465"/>
      <c r="J9" s="660" t="s">
        <v>10</v>
      </c>
      <c r="K9" s="661"/>
      <c r="L9" s="661"/>
      <c r="M9" s="661"/>
      <c r="N9" s="661"/>
      <c r="O9" s="661"/>
      <c r="P9" s="661"/>
      <c r="Q9" s="662"/>
      <c r="R9" s="465"/>
      <c r="S9" s="465"/>
      <c r="T9" s="660" t="s">
        <v>11</v>
      </c>
      <c r="U9" s="661"/>
      <c r="V9" s="661"/>
      <c r="W9" s="661"/>
      <c r="X9" s="661"/>
      <c r="Y9" s="661"/>
      <c r="Z9" s="661"/>
      <c r="AA9" s="661"/>
      <c r="AB9" s="661"/>
      <c r="AC9" s="661"/>
      <c r="AD9" s="662"/>
      <c r="AG9" s="213"/>
    </row>
    <row r="10" spans="2:35" s="83" customFormat="1" ht="15.6" hidden="1" customHeight="1">
      <c r="C10" s="465"/>
      <c r="D10" s="552"/>
      <c r="E10" s="465"/>
      <c r="F10" s="465"/>
      <c r="G10" s="679"/>
      <c r="H10" s="464"/>
      <c r="I10" s="465"/>
      <c r="J10" s="666"/>
      <c r="K10" s="667"/>
      <c r="L10" s="667"/>
      <c r="M10" s="667"/>
      <c r="N10" s="667"/>
      <c r="O10" s="667"/>
      <c r="P10" s="667"/>
      <c r="Q10" s="668"/>
      <c r="R10" s="465"/>
      <c r="S10" s="465"/>
      <c r="T10" s="666"/>
      <c r="U10" s="667"/>
      <c r="V10" s="667"/>
      <c r="W10" s="667"/>
      <c r="X10" s="667"/>
      <c r="Y10" s="667"/>
      <c r="Z10" s="667"/>
      <c r="AA10" s="667"/>
      <c r="AB10" s="667"/>
      <c r="AC10" s="667"/>
      <c r="AD10" s="668"/>
      <c r="AG10" s="213"/>
    </row>
    <row r="11" spans="2:35" s="83" customFormat="1" ht="25.15" hidden="1" customHeight="1">
      <c r="C11" s="465"/>
      <c r="D11" s="465"/>
      <c r="E11" s="465"/>
      <c r="F11" s="465"/>
      <c r="G11" s="679"/>
      <c r="H11" s="464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5"/>
      <c r="X11" s="465"/>
      <c r="Y11" s="465"/>
      <c r="Z11" s="465"/>
      <c r="AA11" s="465"/>
      <c r="AB11" s="465"/>
      <c r="AC11" s="465"/>
      <c r="AD11" s="465"/>
      <c r="AG11" s="213"/>
    </row>
    <row r="12" spans="2:35" s="83" customFormat="1" ht="15" customHeight="1">
      <c r="C12" s="653" t="s">
        <v>446</v>
      </c>
      <c r="D12" s="652" t="s">
        <v>7</v>
      </c>
      <c r="E12" s="465"/>
      <c r="F12" s="465"/>
      <c r="G12" s="679"/>
      <c r="H12" s="464"/>
      <c r="I12" s="465"/>
      <c r="J12" s="671" t="s">
        <v>13</v>
      </c>
      <c r="K12" s="671" t="s">
        <v>13</v>
      </c>
      <c r="L12" s="465"/>
      <c r="M12" s="671" t="s">
        <v>14</v>
      </c>
      <c r="N12" s="660" t="s">
        <v>12</v>
      </c>
      <c r="O12" s="661"/>
      <c r="P12" s="661"/>
      <c r="Q12" s="661"/>
      <c r="R12" s="662"/>
      <c r="S12" s="465"/>
      <c r="T12" s="680" t="s">
        <v>377</v>
      </c>
      <c r="U12" s="465"/>
      <c r="V12" s="465"/>
      <c r="W12" s="660" t="s">
        <v>14</v>
      </c>
      <c r="X12" s="661"/>
      <c r="Y12" s="662"/>
      <c r="Z12" s="465"/>
      <c r="AA12" s="673" t="s">
        <v>12</v>
      </c>
      <c r="AB12" s="674"/>
      <c r="AC12" s="674"/>
      <c r="AD12" s="675"/>
      <c r="AG12" s="213"/>
    </row>
    <row r="13" spans="2:35" s="83" customFormat="1" ht="14.25" customHeight="1">
      <c r="C13" s="654"/>
      <c r="D13" s="652"/>
      <c r="E13" s="467"/>
      <c r="F13" s="465"/>
      <c r="G13" s="679"/>
      <c r="H13" s="464"/>
      <c r="I13" s="465"/>
      <c r="J13" s="679"/>
      <c r="K13" s="679"/>
      <c r="L13" s="465"/>
      <c r="M13" s="679"/>
      <c r="N13" s="666"/>
      <c r="O13" s="667"/>
      <c r="P13" s="667"/>
      <c r="Q13" s="667"/>
      <c r="R13" s="668"/>
      <c r="S13" s="465"/>
      <c r="T13" s="681"/>
      <c r="U13" s="669"/>
      <c r="V13" s="465"/>
      <c r="W13" s="663"/>
      <c r="X13" s="664"/>
      <c r="Y13" s="665"/>
      <c r="Z13" s="465"/>
      <c r="AA13" s="676"/>
      <c r="AB13" s="677"/>
      <c r="AC13" s="677"/>
      <c r="AD13" s="678"/>
      <c r="AG13" s="213"/>
    </row>
    <row r="14" spans="2:35" s="83" customFormat="1" ht="13.5" hidden="1" customHeight="1">
      <c r="C14" s="654"/>
      <c r="D14" s="652"/>
      <c r="E14" s="467"/>
      <c r="F14" s="465"/>
      <c r="G14" s="679"/>
      <c r="H14" s="465"/>
      <c r="I14" s="465"/>
      <c r="J14" s="679"/>
      <c r="K14" s="679"/>
      <c r="L14" s="465"/>
      <c r="M14" s="679"/>
      <c r="N14" s="671" t="s">
        <v>4</v>
      </c>
      <c r="O14" s="671" t="s">
        <v>4</v>
      </c>
      <c r="P14" s="465"/>
      <c r="Q14" s="660" t="s">
        <v>5</v>
      </c>
      <c r="R14" s="662"/>
      <c r="S14" s="465"/>
      <c r="T14" s="681"/>
      <c r="U14" s="670"/>
      <c r="V14" s="465"/>
      <c r="W14" s="663"/>
      <c r="X14" s="664"/>
      <c r="Y14" s="665"/>
      <c r="Z14" s="465"/>
      <c r="AA14" s="669" t="s">
        <v>4</v>
      </c>
      <c r="AB14" s="465"/>
      <c r="AC14" s="465"/>
      <c r="AD14" s="669" t="s">
        <v>5</v>
      </c>
      <c r="AG14" s="213"/>
    </row>
    <row r="15" spans="2:35" s="83" customFormat="1" ht="18" customHeight="1">
      <c r="C15" s="654"/>
      <c r="D15" s="652"/>
      <c r="E15" s="467"/>
      <c r="F15" s="465"/>
      <c r="G15" s="672"/>
      <c r="H15" s="465"/>
      <c r="I15" s="465"/>
      <c r="J15" s="672"/>
      <c r="K15" s="672"/>
      <c r="L15" s="465"/>
      <c r="M15" s="672"/>
      <c r="N15" s="672"/>
      <c r="O15" s="672"/>
      <c r="P15" s="465"/>
      <c r="Q15" s="666"/>
      <c r="R15" s="668"/>
      <c r="S15" s="465"/>
      <c r="T15" s="682"/>
      <c r="U15" s="465"/>
      <c r="V15" s="465"/>
      <c r="W15" s="666"/>
      <c r="X15" s="667"/>
      <c r="Y15" s="668"/>
      <c r="Z15" s="465"/>
      <c r="AA15" s="670"/>
      <c r="AB15" s="465"/>
      <c r="AC15" s="465"/>
      <c r="AD15" s="670"/>
      <c r="AG15" s="213"/>
    </row>
    <row r="16" spans="2:35" ht="15">
      <c r="C16" s="377" t="s">
        <v>15</v>
      </c>
      <c r="D16" s="435" t="s">
        <v>378</v>
      </c>
      <c r="E16" s="378"/>
      <c r="F16" s="84"/>
      <c r="G16" s="173">
        <v>36013000</v>
      </c>
      <c r="H16" s="173"/>
      <c r="I16" s="173"/>
      <c r="J16" s="173">
        <v>5723000</v>
      </c>
      <c r="K16" s="173"/>
      <c r="L16" s="173"/>
      <c r="M16" s="173">
        <v>5723000</v>
      </c>
      <c r="N16" s="174"/>
      <c r="O16" s="174"/>
      <c r="P16" s="105"/>
      <c r="Q16" s="179"/>
      <c r="R16" s="105"/>
      <c r="S16" s="205"/>
      <c r="T16" s="207">
        <v>28610974</v>
      </c>
      <c r="U16" s="173"/>
      <c r="V16" s="174"/>
      <c r="W16" s="210">
        <v>28698000</v>
      </c>
      <c r="X16" s="207"/>
      <c r="Y16" s="173"/>
      <c r="Z16" s="174"/>
      <c r="AA16" s="178">
        <v>-87026</v>
      </c>
      <c r="AB16" s="105"/>
      <c r="AC16" s="105"/>
      <c r="AD16" s="179">
        <v>-0.30324761307408182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5" t="s">
        <v>16</v>
      </c>
      <c r="D17" s="435" t="s">
        <v>379</v>
      </c>
      <c r="E17" s="397"/>
      <c r="F17" s="86"/>
      <c r="G17" s="175">
        <v>10000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>
        <v>5923</v>
      </c>
      <c r="U17" s="176"/>
      <c r="V17" s="176"/>
      <c r="W17" s="211">
        <v>5000</v>
      </c>
      <c r="X17" s="208"/>
      <c r="Y17" s="176"/>
      <c r="Z17" s="176"/>
      <c r="AA17" s="176">
        <v>923</v>
      </c>
      <c r="AB17" s="106"/>
      <c r="AC17" s="106"/>
      <c r="AD17" s="108">
        <v>18.46</v>
      </c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398" t="s">
        <v>17</v>
      </c>
      <c r="D18" s="435" t="s">
        <v>380</v>
      </c>
      <c r="E18" s="396"/>
      <c r="F18" s="86"/>
      <c r="G18" s="175">
        <v>10000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>
        <v>5923</v>
      </c>
      <c r="U18" s="176"/>
      <c r="V18" s="176"/>
      <c r="W18" s="211">
        <v>5000</v>
      </c>
      <c r="X18" s="208"/>
      <c r="Y18" s="176"/>
      <c r="Z18" s="176"/>
      <c r="AA18" s="176">
        <v>923</v>
      </c>
      <c r="AB18" s="106"/>
      <c r="AC18" s="106"/>
      <c r="AD18" s="108">
        <v>18.46</v>
      </c>
      <c r="AF18" s="82">
        <v>5</v>
      </c>
      <c r="AG18" s="212" t="str">
        <f t="shared" si="0"/>
        <v>填寫說明</v>
      </c>
    </row>
    <row r="19" spans="3:33" ht="15">
      <c r="C19" s="395" t="s">
        <v>18</v>
      </c>
      <c r="D19" s="435" t="s">
        <v>381</v>
      </c>
      <c r="E19" s="397"/>
      <c r="F19" s="86"/>
      <c r="G19" s="175">
        <v>1000</v>
      </c>
      <c r="H19" s="175"/>
      <c r="I19" s="175"/>
      <c r="J19" s="175"/>
      <c r="K19" s="175"/>
      <c r="L19" s="175"/>
      <c r="M19" s="175"/>
      <c r="N19" s="176"/>
      <c r="O19" s="176"/>
      <c r="P19" s="106"/>
      <c r="Q19" s="108"/>
      <c r="R19" s="106"/>
      <c r="S19" s="206"/>
      <c r="T19" s="209">
        <v>1191</v>
      </c>
      <c r="U19" s="175"/>
      <c r="V19" s="176"/>
      <c r="W19" s="211"/>
      <c r="X19" s="209"/>
      <c r="Y19" s="175"/>
      <c r="Z19" s="176"/>
      <c r="AA19" s="176">
        <v>1191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398" t="s">
        <v>382</v>
      </c>
      <c r="D20" s="435">
        <v>451</v>
      </c>
      <c r="E20" s="86"/>
      <c r="F20" s="86"/>
      <c r="G20" s="175"/>
      <c r="H20" s="175"/>
      <c r="I20" s="175"/>
      <c r="J20" s="175"/>
      <c r="K20" s="175"/>
      <c r="L20" s="175"/>
      <c r="M20" s="175"/>
      <c r="N20" s="176"/>
      <c r="O20" s="176"/>
      <c r="P20" s="106"/>
      <c r="Q20" s="108"/>
      <c r="R20" s="106"/>
      <c r="S20" s="206"/>
      <c r="T20" s="427">
        <v>1191</v>
      </c>
      <c r="U20" s="175"/>
      <c r="V20" s="176"/>
      <c r="W20" s="427"/>
      <c r="X20" s="209"/>
      <c r="Y20" s="175"/>
      <c r="Z20" s="176"/>
      <c r="AA20" s="176">
        <v>1191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398" t="s">
        <v>19</v>
      </c>
      <c r="D21" s="435" t="s">
        <v>383</v>
      </c>
      <c r="E21" s="397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5" t="s">
        <v>384</v>
      </c>
      <c r="D22" s="435" t="s">
        <v>385</v>
      </c>
      <c r="E22" s="396"/>
      <c r="F22" s="86"/>
      <c r="G22" s="175">
        <v>35992000</v>
      </c>
      <c r="H22" s="175"/>
      <c r="I22" s="175"/>
      <c r="J22" s="175">
        <v>5723000</v>
      </c>
      <c r="K22" s="176"/>
      <c r="L22" s="176"/>
      <c r="M22" s="176">
        <v>5723000</v>
      </c>
      <c r="N22" s="176"/>
      <c r="O22" s="176"/>
      <c r="P22" s="106"/>
      <c r="Q22" s="108"/>
      <c r="R22" s="106"/>
      <c r="S22" s="206"/>
      <c r="T22" s="209">
        <v>28603013</v>
      </c>
      <c r="U22" s="176"/>
      <c r="V22" s="176"/>
      <c r="W22" s="211">
        <v>28688000</v>
      </c>
      <c r="X22" s="209"/>
      <c r="Y22" s="175"/>
      <c r="Z22" s="175"/>
      <c r="AA22" s="175">
        <v>-84987</v>
      </c>
      <c r="AB22" s="106"/>
      <c r="AC22" s="108"/>
      <c r="AD22" s="108">
        <v>-0.29624581706636927</v>
      </c>
      <c r="AF22" s="82">
        <v>9</v>
      </c>
      <c r="AG22" s="212" t="str">
        <f t="shared" si="0"/>
        <v/>
      </c>
    </row>
    <row r="23" spans="3:33" ht="15">
      <c r="C23" s="398" t="s">
        <v>21</v>
      </c>
      <c r="D23" s="435" t="s">
        <v>386</v>
      </c>
      <c r="E23" s="397"/>
      <c r="F23" s="86"/>
      <c r="G23" s="175">
        <v>35992000</v>
      </c>
      <c r="H23" s="175"/>
      <c r="I23" s="175"/>
      <c r="J23" s="175">
        <v>5723000</v>
      </c>
      <c r="K23" s="175"/>
      <c r="L23" s="175"/>
      <c r="M23" s="175">
        <v>5723000</v>
      </c>
      <c r="N23" s="175"/>
      <c r="O23" s="175"/>
      <c r="P23" s="107"/>
      <c r="Q23" s="108"/>
      <c r="R23" s="108"/>
      <c r="S23" s="206"/>
      <c r="T23" s="209">
        <v>28603013</v>
      </c>
      <c r="U23" s="175"/>
      <c r="V23" s="176"/>
      <c r="W23" s="211">
        <v>28688000</v>
      </c>
      <c r="X23" s="209"/>
      <c r="Y23" s="175"/>
      <c r="Z23" s="175"/>
      <c r="AA23" s="175">
        <v>-84987</v>
      </c>
      <c r="AB23" s="106"/>
      <c r="AC23" s="108"/>
      <c r="AD23" s="108">
        <v>-0.29624581706636927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5" t="s">
        <v>387</v>
      </c>
      <c r="E24" s="86"/>
      <c r="F24" s="86"/>
      <c r="G24" s="175">
        <v>10000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>
        <v>847</v>
      </c>
      <c r="U24" s="175"/>
      <c r="V24" s="176"/>
      <c r="W24" s="211">
        <v>5000</v>
      </c>
      <c r="X24" s="209"/>
      <c r="Y24" s="175"/>
      <c r="Z24" s="175"/>
      <c r="AA24" s="175">
        <v>-4153</v>
      </c>
      <c r="AB24" s="106"/>
      <c r="AC24" s="108"/>
      <c r="AD24" s="108">
        <v>-83.06</v>
      </c>
      <c r="AF24" s="82">
        <v>11</v>
      </c>
      <c r="AG24" s="212" t="str">
        <f t="shared" si="0"/>
        <v/>
      </c>
    </row>
    <row r="25" spans="3:33" ht="15">
      <c r="C25" s="172" t="s">
        <v>388</v>
      </c>
      <c r="D25" s="435" t="s">
        <v>389</v>
      </c>
      <c r="E25" s="86"/>
      <c r="F25" s="86"/>
      <c r="G25" s="175">
        <v>10000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>
        <v>847</v>
      </c>
      <c r="U25" s="175"/>
      <c r="V25" s="176"/>
      <c r="W25" s="211">
        <v>5000</v>
      </c>
      <c r="X25" s="209"/>
      <c r="Y25" s="175"/>
      <c r="Z25" s="175"/>
      <c r="AA25" s="175">
        <v>-4153</v>
      </c>
      <c r="AB25" s="106"/>
      <c r="AC25" s="108"/>
      <c r="AD25" s="108">
        <v>-83.06</v>
      </c>
      <c r="AF25" s="82">
        <v>12</v>
      </c>
      <c r="AG25" s="212" t="str">
        <f t="shared" si="0"/>
        <v>填寫說明</v>
      </c>
    </row>
    <row r="26" spans="3:33" ht="15">
      <c r="C26" s="167" t="s">
        <v>167</v>
      </c>
      <c r="D26" s="435" t="s">
        <v>390</v>
      </c>
      <c r="E26" s="86"/>
      <c r="F26" s="86"/>
      <c r="G26" s="175">
        <v>36079000</v>
      </c>
      <c r="H26" s="175"/>
      <c r="I26" s="175"/>
      <c r="J26" s="175">
        <v>5164543</v>
      </c>
      <c r="K26" s="175"/>
      <c r="L26" s="175"/>
      <c r="M26" s="176">
        <v>5723000</v>
      </c>
      <c r="N26" s="175">
        <v>-558457</v>
      </c>
      <c r="O26" s="175"/>
      <c r="P26" s="107"/>
      <c r="Q26" s="108">
        <v>-9.7581163725318909</v>
      </c>
      <c r="R26" s="106"/>
      <c r="S26" s="106"/>
      <c r="T26" s="175">
        <v>26785086</v>
      </c>
      <c r="U26" s="175"/>
      <c r="V26" s="176"/>
      <c r="W26" s="175">
        <v>28764000</v>
      </c>
      <c r="X26" s="175"/>
      <c r="Y26" s="175"/>
      <c r="Z26" s="175"/>
      <c r="AA26" s="175">
        <v>-1978914</v>
      </c>
      <c r="AB26" s="106"/>
      <c r="AC26" s="108"/>
      <c r="AD26" s="108">
        <v>-6.8798289528577401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5" t="s">
        <v>391</v>
      </c>
      <c r="E27" s="167"/>
      <c r="F27" s="86"/>
      <c r="G27" s="175">
        <v>36079000</v>
      </c>
      <c r="H27" s="175"/>
      <c r="I27" s="175"/>
      <c r="J27" s="175">
        <v>5164543</v>
      </c>
      <c r="K27" s="175"/>
      <c r="L27" s="175"/>
      <c r="M27" s="176">
        <v>5723000</v>
      </c>
      <c r="N27" s="175">
        <v>-558457</v>
      </c>
      <c r="O27" s="175"/>
      <c r="P27" s="107"/>
      <c r="Q27" s="108">
        <v>-9.7581163725318909</v>
      </c>
      <c r="R27" s="106"/>
      <c r="S27" s="106"/>
      <c r="T27" s="175">
        <v>26785086</v>
      </c>
      <c r="U27" s="175"/>
      <c r="V27" s="176"/>
      <c r="W27" s="175">
        <v>28764000</v>
      </c>
      <c r="X27" s="175"/>
      <c r="Y27" s="175"/>
      <c r="Z27" s="175"/>
      <c r="AA27" s="175">
        <v>-1978914</v>
      </c>
      <c r="AB27" s="106"/>
      <c r="AC27" s="108"/>
      <c r="AD27" s="108">
        <v>-6.8798289528577401</v>
      </c>
      <c r="AF27" s="82">
        <v>14</v>
      </c>
      <c r="AG27" s="212" t="str">
        <f t="shared" si="0"/>
        <v/>
      </c>
    </row>
    <row r="28" spans="3:33" ht="15">
      <c r="C28" s="172" t="s">
        <v>449</v>
      </c>
      <c r="D28" s="435">
        <v>532</v>
      </c>
      <c r="E28" s="167"/>
      <c r="F28" s="86"/>
      <c r="G28" s="175">
        <v>36079000</v>
      </c>
      <c r="H28" s="175"/>
      <c r="I28" s="175"/>
      <c r="J28" s="175">
        <v>5164543</v>
      </c>
      <c r="K28" s="175"/>
      <c r="L28" s="175"/>
      <c r="M28" s="176">
        <v>5723000</v>
      </c>
      <c r="N28" s="175">
        <v>-558457</v>
      </c>
      <c r="O28" s="175"/>
      <c r="P28" s="107"/>
      <c r="Q28" s="108">
        <v>-9.7581163725318909</v>
      </c>
      <c r="R28" s="106"/>
      <c r="S28" s="106"/>
      <c r="T28" s="175">
        <v>26785086</v>
      </c>
      <c r="U28" s="175"/>
      <c r="V28" s="176"/>
      <c r="W28" s="175">
        <v>28764000</v>
      </c>
      <c r="X28" s="175"/>
      <c r="Y28" s="175"/>
      <c r="Z28" s="175"/>
      <c r="AA28" s="175">
        <v>-1978914</v>
      </c>
      <c r="AB28" s="106"/>
      <c r="AC28" s="108"/>
      <c r="AD28" s="108">
        <v>-6.8798289528577401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5" t="s">
        <v>392</v>
      </c>
      <c r="E29" s="86"/>
      <c r="F29" s="86"/>
      <c r="G29" s="175">
        <v>-66000</v>
      </c>
      <c r="H29" s="175"/>
      <c r="I29" s="175"/>
      <c r="J29" s="175">
        <v>558457</v>
      </c>
      <c r="K29" s="176"/>
      <c r="L29" s="176"/>
      <c r="M29" s="176"/>
      <c r="N29" s="176">
        <v>558457</v>
      </c>
      <c r="O29" s="176"/>
      <c r="P29" s="106"/>
      <c r="Q29" s="108"/>
      <c r="R29" s="106"/>
      <c r="S29" s="106"/>
      <c r="T29" s="175">
        <v>1825888</v>
      </c>
      <c r="U29" s="175"/>
      <c r="V29" s="176"/>
      <c r="W29" s="175">
        <v>-66000</v>
      </c>
      <c r="X29" s="175"/>
      <c r="Y29" s="175"/>
      <c r="Z29" s="175"/>
      <c r="AA29" s="175">
        <v>1891888</v>
      </c>
      <c r="AB29" s="106"/>
      <c r="AC29" s="108"/>
      <c r="AD29" s="108">
        <v>-2866.4969696969697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5" t="s">
        <v>393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5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5" t="s">
        <v>394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3567451</v>
      </c>
      <c r="U32" s="175"/>
      <c r="V32" s="176"/>
      <c r="W32" s="175">
        <v>569442</v>
      </c>
      <c r="X32" s="175"/>
      <c r="Y32" s="175"/>
      <c r="Z32" s="175"/>
      <c r="AA32" s="175">
        <v>2998009</v>
      </c>
      <c r="AB32" s="106"/>
      <c r="AC32" s="108"/>
      <c r="AD32" s="108">
        <v>526.4818892881101</v>
      </c>
      <c r="AG32" s="212" t="str">
        <f t="shared" si="0"/>
        <v/>
      </c>
    </row>
    <row r="33" spans="2:33" ht="15" hidden="1" customHeight="1">
      <c r="C33" s="85"/>
      <c r="D33" s="436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6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6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6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6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6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6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6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6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6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6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6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37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5" zoomScaleSheetLayoutView="100" workbookViewId="0">
      <selection activeCell="O28" sqref="O28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425781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703" t="str">
        <f>封面!$A$4</f>
        <v>彰化縣地方教育發展基金－彰化縣秀水鄉馬興國民小學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  <c r="R2" s="703"/>
      <c r="S2" s="703"/>
      <c r="T2" s="703"/>
      <c r="U2" s="703"/>
      <c r="V2" s="703"/>
    </row>
    <row r="3" spans="1:22" ht="21">
      <c r="A3" s="705" t="s">
        <v>0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</row>
    <row r="4" spans="1:22" ht="19.5">
      <c r="A4" s="706" t="str">
        <f>封面!$E$10&amp;封面!$H$10&amp;封面!$I$10&amp;封面!$J$10&amp;封面!$K$10&amp;封面!$O$10&amp;"日"</f>
        <v>中華民國112年8月31日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706"/>
      <c r="T4" s="706"/>
      <c r="U4" s="706"/>
      <c r="V4" s="706"/>
    </row>
    <row r="5" spans="1:22" ht="2.25" customHeight="1"/>
    <row r="6" spans="1:22" ht="15.75" customHeight="1">
      <c r="A6" s="704" t="s">
        <v>1</v>
      </c>
      <c r="B6" s="704"/>
      <c r="C6" s="704"/>
      <c r="D6" s="704"/>
      <c r="E6" s="704"/>
      <c r="F6" s="704"/>
      <c r="G6" s="704"/>
      <c r="H6" s="704"/>
      <c r="I6" s="704"/>
      <c r="J6" s="704"/>
      <c r="K6" s="704"/>
      <c r="L6" s="704"/>
      <c r="M6" s="704"/>
      <c r="N6" s="704"/>
      <c r="O6" s="704"/>
      <c r="P6" s="704"/>
      <c r="Q6" s="704"/>
      <c r="R6" s="704"/>
      <c r="S6" s="704"/>
      <c r="T6" s="704"/>
      <c r="U6" s="704"/>
      <c r="V6" s="704"/>
    </row>
    <row r="7" spans="1:22" ht="2.25" customHeight="1">
      <c r="A7" s="2"/>
      <c r="B7" s="2"/>
      <c r="C7" s="2"/>
      <c r="D7" s="2"/>
      <c r="E7" s="2"/>
      <c r="F7" s="2"/>
      <c r="G7" s="340"/>
      <c r="K7" s="2"/>
      <c r="L7" s="2"/>
      <c r="M7" s="2"/>
      <c r="N7" s="2"/>
      <c r="O7" s="2"/>
      <c r="P7" s="2"/>
      <c r="Q7" s="2"/>
      <c r="R7" s="340"/>
      <c r="S7" s="340"/>
      <c r="T7" s="340"/>
    </row>
    <row r="8" spans="1:22" ht="4.5" hidden="1" customHeight="1">
      <c r="A8" s="690" t="s">
        <v>2</v>
      </c>
      <c r="B8" s="690"/>
      <c r="C8" s="690"/>
      <c r="D8" s="690"/>
      <c r="E8" s="690"/>
      <c r="F8" s="690"/>
      <c r="G8" s="330"/>
      <c r="H8" s="1"/>
      <c r="I8" s="1"/>
      <c r="J8" s="454"/>
      <c r="K8" s="707" t="s">
        <v>3</v>
      </c>
      <c r="L8" s="707"/>
      <c r="M8" s="707"/>
      <c r="N8" s="707"/>
      <c r="O8" s="707"/>
      <c r="P8" s="707"/>
      <c r="Q8" s="708"/>
      <c r="R8" s="330"/>
      <c r="S8" s="330"/>
      <c r="T8" s="330"/>
      <c r="U8" s="1"/>
      <c r="V8" s="1"/>
    </row>
    <row r="9" spans="1:22" ht="18" customHeight="1">
      <c r="A9" s="690"/>
      <c r="B9" s="690"/>
      <c r="C9" s="690"/>
      <c r="D9" s="690"/>
      <c r="E9" s="690"/>
      <c r="F9" s="690"/>
      <c r="G9" s="330"/>
      <c r="H9" s="690" t="s">
        <v>4</v>
      </c>
      <c r="I9" s="690" t="s">
        <v>5</v>
      </c>
      <c r="J9" s="454"/>
      <c r="K9" s="707"/>
      <c r="L9" s="707"/>
      <c r="M9" s="707"/>
      <c r="N9" s="707"/>
      <c r="O9" s="707"/>
      <c r="P9" s="707"/>
      <c r="Q9" s="708"/>
      <c r="R9" s="330"/>
      <c r="S9" s="330"/>
      <c r="T9" s="686" t="s">
        <v>4</v>
      </c>
      <c r="U9" s="687"/>
      <c r="V9" s="690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90"/>
      <c r="I10" s="690"/>
      <c r="J10" s="1"/>
      <c r="K10" s="1"/>
      <c r="L10" s="1"/>
      <c r="M10" s="1"/>
      <c r="N10" s="1"/>
      <c r="O10" s="1"/>
      <c r="P10" s="1"/>
      <c r="Q10" s="1"/>
      <c r="R10" s="1"/>
      <c r="S10" s="1"/>
      <c r="T10" s="688"/>
      <c r="U10" s="688"/>
      <c r="V10" s="690"/>
    </row>
    <row r="11" spans="1:22" ht="18" customHeight="1">
      <c r="A11" s="690" t="s">
        <v>6</v>
      </c>
      <c r="B11" s="690"/>
      <c r="C11" s="690"/>
      <c r="D11" s="690"/>
      <c r="E11" s="690"/>
      <c r="F11" s="690" t="s">
        <v>7</v>
      </c>
      <c r="G11" s="330"/>
      <c r="H11" s="690"/>
      <c r="I11" s="690"/>
      <c r="J11" s="454"/>
      <c r="K11" s="707" t="s">
        <v>6</v>
      </c>
      <c r="L11" s="707"/>
      <c r="M11" s="707"/>
      <c r="N11" s="707"/>
      <c r="O11" s="708"/>
      <c r="P11" s="330"/>
      <c r="Q11" s="690" t="s">
        <v>7</v>
      </c>
      <c r="R11" s="330"/>
      <c r="S11" s="330"/>
      <c r="T11" s="689"/>
      <c r="U11" s="689"/>
      <c r="V11" s="690"/>
    </row>
    <row r="12" spans="1:22" ht="14.25" hidden="1">
      <c r="A12" s="690"/>
      <c r="B12" s="690"/>
      <c r="C12" s="690"/>
      <c r="D12" s="690"/>
      <c r="E12" s="690"/>
      <c r="F12" s="690"/>
      <c r="G12" s="330"/>
      <c r="H12" s="1"/>
      <c r="I12" s="1"/>
      <c r="J12" s="454"/>
      <c r="K12" s="707"/>
      <c r="L12" s="707"/>
      <c r="M12" s="707"/>
      <c r="N12" s="707"/>
      <c r="O12" s="708"/>
      <c r="P12" s="330"/>
      <c r="Q12" s="690"/>
      <c r="R12" s="330"/>
      <c r="S12" s="330"/>
      <c r="T12" s="330"/>
      <c r="U12" s="1"/>
      <c r="V12" s="1"/>
    </row>
    <row r="13" spans="1:22" ht="14.25">
      <c r="A13" s="120" t="s">
        <v>466</v>
      </c>
      <c r="B13" s="121"/>
      <c r="C13" s="393"/>
      <c r="D13" s="393"/>
      <c r="E13" s="394"/>
      <c r="F13" s="123" t="s">
        <v>467</v>
      </c>
      <c r="G13" s="123"/>
      <c r="H13" s="124">
        <v>53807960</v>
      </c>
      <c r="I13" s="326">
        <v>100</v>
      </c>
      <c r="J13" s="455" t="s">
        <v>510</v>
      </c>
      <c r="K13" s="121"/>
      <c r="L13" s="121"/>
      <c r="M13" s="121"/>
      <c r="N13" s="121"/>
      <c r="O13" s="122"/>
      <c r="P13" s="122"/>
      <c r="Q13" s="125" t="s">
        <v>521</v>
      </c>
      <c r="R13" s="123"/>
      <c r="S13" s="123"/>
      <c r="T13" s="701">
        <f>[2]Sheet1!T14:U14</f>
        <v>6851724</v>
      </c>
      <c r="U13" s="702"/>
      <c r="V13" s="498">
        <f>[2]Sheet1!V14</f>
        <v>12.733662454402657</v>
      </c>
    </row>
    <row r="14" spans="1:22" ht="14.25">
      <c r="A14" s="339"/>
      <c r="B14" s="127" t="s">
        <v>468</v>
      </c>
      <c r="C14" s="375"/>
      <c r="D14" s="375"/>
      <c r="E14" s="376"/>
      <c r="F14" s="133" t="s">
        <v>469</v>
      </c>
      <c r="G14" s="133"/>
      <c r="H14" s="130">
        <v>10419175</v>
      </c>
      <c r="I14" s="327">
        <v>19.363631328896318</v>
      </c>
      <c r="J14" s="137"/>
      <c r="K14" s="127" t="s">
        <v>511</v>
      </c>
      <c r="L14" s="127"/>
      <c r="M14" s="127"/>
      <c r="N14" s="127"/>
      <c r="O14" s="128"/>
      <c r="P14" s="128"/>
      <c r="Q14" s="131" t="s">
        <v>522</v>
      </c>
      <c r="R14" s="133"/>
      <c r="S14" s="133"/>
      <c r="T14" s="695">
        <f>[2]Sheet1!T15:U15</f>
        <v>4641922</v>
      </c>
      <c r="U14" s="696"/>
      <c r="V14" s="499">
        <f>[2]Sheet1!V15</f>
        <v>8.626831420481281</v>
      </c>
    </row>
    <row r="15" spans="1:22" ht="14.25">
      <c r="A15" s="339"/>
      <c r="B15" s="127"/>
      <c r="C15" s="375" t="s">
        <v>470</v>
      </c>
      <c r="D15" s="375"/>
      <c r="E15" s="376"/>
      <c r="F15" s="133" t="s">
        <v>471</v>
      </c>
      <c r="G15" s="133"/>
      <c r="H15" s="130">
        <v>10325493</v>
      </c>
      <c r="I15" s="327">
        <v>19.189526977049493</v>
      </c>
      <c r="J15" s="137"/>
      <c r="K15" s="127"/>
      <c r="L15" s="127" t="s">
        <v>512</v>
      </c>
      <c r="M15" s="127"/>
      <c r="N15" s="127"/>
      <c r="O15" s="128"/>
      <c r="P15" s="128"/>
      <c r="Q15" s="131" t="s">
        <v>523</v>
      </c>
      <c r="R15" s="133"/>
      <c r="S15" s="133"/>
      <c r="T15" s="695">
        <f>[2]Sheet1!T16:U16</f>
        <v>4641922</v>
      </c>
      <c r="U15" s="696"/>
      <c r="V15" s="499">
        <f>[2]Sheet1!V16</f>
        <v>8.626831420481281</v>
      </c>
    </row>
    <row r="16" spans="1:22" ht="14.25">
      <c r="A16" s="339"/>
      <c r="B16" s="127"/>
      <c r="C16" s="375"/>
      <c r="D16" s="375" t="s">
        <v>472</v>
      </c>
      <c r="E16" s="376"/>
      <c r="F16" s="133" t="s">
        <v>473</v>
      </c>
      <c r="G16" s="133"/>
      <c r="H16" s="130">
        <v>10285493</v>
      </c>
      <c r="I16" s="327">
        <v>19.115188533443746</v>
      </c>
      <c r="J16" s="137"/>
      <c r="K16" s="127"/>
      <c r="L16" s="127"/>
      <c r="M16" s="127" t="s">
        <v>513</v>
      </c>
      <c r="N16" s="127"/>
      <c r="O16" s="128"/>
      <c r="P16" s="128"/>
      <c r="Q16" s="131" t="s">
        <v>524</v>
      </c>
      <c r="R16" s="133"/>
      <c r="S16" s="133"/>
      <c r="T16" s="695">
        <f>[2]Sheet1!T17:U17</f>
        <v>4641922</v>
      </c>
      <c r="U16" s="696"/>
      <c r="V16" s="499">
        <f>[2]Sheet1!V17</f>
        <v>8.626831420481281</v>
      </c>
    </row>
    <row r="17" spans="1:22" ht="14.25">
      <c r="A17" s="339"/>
      <c r="B17" s="127"/>
      <c r="C17" s="375"/>
      <c r="D17" s="375"/>
      <c r="E17" s="376" t="s">
        <v>474</v>
      </c>
      <c r="F17" s="133" t="s">
        <v>475</v>
      </c>
      <c r="G17" s="133"/>
      <c r="H17" s="130">
        <v>3527451</v>
      </c>
      <c r="I17" s="327">
        <v>6.5556304308879199</v>
      </c>
      <c r="J17" s="137"/>
      <c r="K17" s="127"/>
      <c r="L17" s="127"/>
      <c r="M17" s="127" t="s">
        <v>514</v>
      </c>
      <c r="N17" s="127"/>
      <c r="O17" s="128"/>
      <c r="P17" s="128"/>
      <c r="Q17" s="131" t="s">
        <v>525</v>
      </c>
      <c r="R17" s="133"/>
      <c r="S17" s="133"/>
      <c r="T17" s="695">
        <f>[2]Sheet1!T18:U18</f>
        <v>0</v>
      </c>
      <c r="U17" s="696"/>
      <c r="V17" s="499">
        <f>[2]Sheet1!V18</f>
        <v>0</v>
      </c>
    </row>
    <row r="18" spans="1:22" ht="14.25">
      <c r="A18" s="339"/>
      <c r="B18" s="127"/>
      <c r="C18" s="375"/>
      <c r="D18" s="375"/>
      <c r="E18" s="376" t="s">
        <v>476</v>
      </c>
      <c r="F18" s="133" t="s">
        <v>477</v>
      </c>
      <c r="G18" s="133"/>
      <c r="H18" s="130">
        <v>6758042</v>
      </c>
      <c r="I18" s="327">
        <v>12.55955810255583</v>
      </c>
      <c r="J18" s="137"/>
      <c r="K18" s="127" t="s">
        <v>515</v>
      </c>
      <c r="L18" s="127"/>
      <c r="M18" s="127"/>
      <c r="N18" s="127"/>
      <c r="O18" s="128"/>
      <c r="P18" s="128"/>
      <c r="Q18" s="131" t="s">
        <v>526</v>
      </c>
      <c r="R18" s="133"/>
      <c r="S18" s="133"/>
      <c r="T18" s="695">
        <f>[2]Sheet1!T19:U19</f>
        <v>2209802</v>
      </c>
      <c r="U18" s="696"/>
      <c r="V18" s="499">
        <f>[2]Sheet1!V19</f>
        <v>4.1068310339213756</v>
      </c>
    </row>
    <row r="19" spans="1:22" ht="14.25">
      <c r="A19" s="339"/>
      <c r="B19" s="127"/>
      <c r="C19" s="375"/>
      <c r="D19" s="375" t="s">
        <v>478</v>
      </c>
      <c r="E19" s="376"/>
      <c r="F19" s="133" t="s">
        <v>479</v>
      </c>
      <c r="G19" s="133"/>
      <c r="H19" s="130">
        <v>40000</v>
      </c>
      <c r="I19" s="327">
        <v>7.43384436057416E-2</v>
      </c>
      <c r="J19" s="137"/>
      <c r="K19" s="127"/>
      <c r="L19" s="127" t="s">
        <v>516</v>
      </c>
      <c r="M19" s="127"/>
      <c r="N19" s="127"/>
      <c r="O19" s="128"/>
      <c r="P19" s="128"/>
      <c r="Q19" s="131" t="s">
        <v>527</v>
      </c>
      <c r="R19" s="133"/>
      <c r="S19" s="133"/>
      <c r="T19" s="695">
        <f>[2]Sheet1!T20:U20</f>
        <v>2209802</v>
      </c>
      <c r="U19" s="696"/>
      <c r="V19" s="499">
        <f>[2]Sheet1!V20</f>
        <v>4.1068310339213756</v>
      </c>
    </row>
    <row r="20" spans="1:22" ht="14.25">
      <c r="A20" s="339"/>
      <c r="B20" s="127"/>
      <c r="C20" s="375" t="s">
        <v>480</v>
      </c>
      <c r="D20" s="375"/>
      <c r="E20" s="376"/>
      <c r="F20" s="133" t="s">
        <v>481</v>
      </c>
      <c r="G20" s="133"/>
      <c r="H20" s="130">
        <v>93682</v>
      </c>
      <c r="I20" s="327">
        <v>0.17410435184682713</v>
      </c>
      <c r="J20" s="137"/>
      <c r="K20" s="127"/>
      <c r="L20" s="127"/>
      <c r="M20" s="127" t="s">
        <v>517</v>
      </c>
      <c r="N20" s="127"/>
      <c r="O20" s="128"/>
      <c r="P20" s="128"/>
      <c r="Q20" s="131" t="s">
        <v>528</v>
      </c>
      <c r="R20" s="133"/>
      <c r="S20" s="133"/>
      <c r="T20" s="695">
        <f>[2]Sheet1!T21:U21</f>
        <v>2209802</v>
      </c>
      <c r="U20" s="696"/>
      <c r="V20" s="499">
        <f>[2]Sheet1!V21</f>
        <v>4.1068310339213756</v>
      </c>
    </row>
    <row r="21" spans="1:22" ht="14.25">
      <c r="A21" s="339"/>
      <c r="B21" s="127"/>
      <c r="C21" s="375"/>
      <c r="D21" s="375" t="s">
        <v>482</v>
      </c>
      <c r="E21" s="376"/>
      <c r="F21" s="133" t="s">
        <v>483</v>
      </c>
      <c r="G21" s="133"/>
      <c r="H21" s="130">
        <v>93682</v>
      </c>
      <c r="I21" s="327">
        <v>0.17410435184682713</v>
      </c>
      <c r="J21" s="137" t="s">
        <v>518</v>
      </c>
      <c r="K21" s="127"/>
      <c r="L21" s="127"/>
      <c r="M21" s="127"/>
      <c r="N21" s="127"/>
      <c r="O21" s="128"/>
      <c r="P21" s="128"/>
      <c r="Q21" s="131" t="s">
        <v>529</v>
      </c>
      <c r="R21" s="133"/>
      <c r="S21" s="133"/>
      <c r="T21" s="695">
        <f>[2]Sheet1!T22:U22</f>
        <v>46956236</v>
      </c>
      <c r="U21" s="696"/>
      <c r="V21" s="499">
        <f>[2]Sheet1!V22</f>
        <v>87.266337545597338</v>
      </c>
    </row>
    <row r="22" spans="1:22" ht="14.25">
      <c r="A22" s="339"/>
      <c r="B22" s="127" t="s">
        <v>484</v>
      </c>
      <c r="C22" s="127"/>
      <c r="D22" s="127"/>
      <c r="E22" s="128"/>
      <c r="F22" s="133" t="s">
        <v>485</v>
      </c>
      <c r="G22" s="133"/>
      <c r="H22" s="130">
        <v>43388785</v>
      </c>
      <c r="I22" s="327">
        <v>80.636368671103682</v>
      </c>
      <c r="J22" s="137"/>
      <c r="K22" s="127" t="s">
        <v>518</v>
      </c>
      <c r="L22" s="127"/>
      <c r="M22" s="127"/>
      <c r="N22" s="127"/>
      <c r="O22" s="128"/>
      <c r="P22" s="128"/>
      <c r="Q22" s="131" t="s">
        <v>530</v>
      </c>
      <c r="R22" s="133"/>
      <c r="S22" s="133"/>
      <c r="T22" s="695">
        <f>[2]Sheet1!T23:U23</f>
        <v>46956236</v>
      </c>
      <c r="U22" s="696"/>
      <c r="V22" s="499">
        <f>[2]Sheet1!V23</f>
        <v>87.266337545597338</v>
      </c>
    </row>
    <row r="23" spans="1:22" ht="15">
      <c r="A23" s="126"/>
      <c r="B23" s="127"/>
      <c r="C23" s="127" t="s">
        <v>44</v>
      </c>
      <c r="D23" s="127"/>
      <c r="E23" s="128"/>
      <c r="F23" s="129" t="s">
        <v>486</v>
      </c>
      <c r="G23" s="129"/>
      <c r="H23" s="130">
        <v>11027358</v>
      </c>
      <c r="I23" s="327">
        <v>20.493915770083092</v>
      </c>
      <c r="J23" s="137"/>
      <c r="K23" s="132"/>
      <c r="L23" s="127" t="s">
        <v>518</v>
      </c>
      <c r="M23" s="127"/>
      <c r="N23" s="127"/>
      <c r="O23" s="128"/>
      <c r="P23" s="128"/>
      <c r="Q23" s="131" t="s">
        <v>531</v>
      </c>
      <c r="R23" s="133"/>
      <c r="S23" s="133"/>
      <c r="T23" s="695">
        <f>[2]Sheet1!T24:U24</f>
        <v>46956236</v>
      </c>
      <c r="U23" s="696"/>
      <c r="V23" s="499">
        <f>[2]Sheet1!V24</f>
        <v>87.266337545597338</v>
      </c>
    </row>
    <row r="24" spans="1:22" ht="15">
      <c r="A24" s="126"/>
      <c r="B24" s="127"/>
      <c r="C24" s="127"/>
      <c r="D24" s="127" t="s">
        <v>44</v>
      </c>
      <c r="E24" s="128"/>
      <c r="F24" s="129" t="s">
        <v>487</v>
      </c>
      <c r="G24" s="129"/>
      <c r="H24" s="130">
        <v>11027358</v>
      </c>
      <c r="I24" s="327">
        <v>20.493915770083092</v>
      </c>
      <c r="J24" s="137"/>
      <c r="K24" s="132"/>
      <c r="L24" s="127"/>
      <c r="M24" s="127" t="s">
        <v>519</v>
      </c>
      <c r="N24" s="127"/>
      <c r="O24" s="128"/>
      <c r="P24" s="128"/>
      <c r="Q24" s="131" t="s">
        <v>532</v>
      </c>
      <c r="R24" s="133"/>
      <c r="S24" s="133"/>
      <c r="T24" s="695">
        <f>[2]Sheet1!T25:U25</f>
        <v>42779832</v>
      </c>
      <c r="U24" s="696"/>
      <c r="V24" s="499">
        <f>[2]Sheet1!V25</f>
        <v>79.504653214877507</v>
      </c>
    </row>
    <row r="25" spans="1:22" ht="15">
      <c r="A25" s="126"/>
      <c r="B25" s="127"/>
      <c r="C25" s="127" t="s">
        <v>45</v>
      </c>
      <c r="D25" s="127"/>
      <c r="E25" s="128"/>
      <c r="F25" s="129" t="s">
        <v>488</v>
      </c>
      <c r="G25" s="129"/>
      <c r="H25" s="130">
        <v>2478893</v>
      </c>
      <c r="I25" s="327">
        <v>4.6069261871291909</v>
      </c>
      <c r="J25" s="137"/>
      <c r="K25" s="132"/>
      <c r="L25" s="127"/>
      <c r="M25" s="127" t="s">
        <v>520</v>
      </c>
      <c r="N25" s="127"/>
      <c r="O25" s="128"/>
      <c r="P25" s="128"/>
      <c r="Q25" s="131" t="s">
        <v>533</v>
      </c>
      <c r="R25" s="133"/>
      <c r="S25" s="133"/>
      <c r="T25" s="695">
        <f>[2]Sheet1!T26:U26</f>
        <v>4176404</v>
      </c>
      <c r="U25" s="696"/>
      <c r="V25" s="499">
        <f>[2]Sheet1!V26</f>
        <v>7.7616843307198415</v>
      </c>
    </row>
    <row r="26" spans="1:22" ht="15">
      <c r="A26" s="126"/>
      <c r="B26" s="127"/>
      <c r="C26" s="127"/>
      <c r="D26" s="127" t="s">
        <v>45</v>
      </c>
      <c r="E26" s="128"/>
      <c r="F26" s="129" t="s">
        <v>489</v>
      </c>
      <c r="G26" s="129"/>
      <c r="H26" s="130">
        <v>5137300</v>
      </c>
      <c r="I26" s="327">
        <v>9.5474721583944078</v>
      </c>
      <c r="J26" s="137" t="s">
        <v>509</v>
      </c>
      <c r="K26" s="132"/>
      <c r="L26" s="127"/>
      <c r="M26" s="127"/>
      <c r="N26" s="127"/>
      <c r="O26" s="128"/>
      <c r="P26" s="128"/>
      <c r="Q26" s="131"/>
      <c r="R26" s="133"/>
      <c r="S26" s="133"/>
      <c r="T26" s="697">
        <f>[2]Sheet1!T27:U27</f>
        <v>53807960</v>
      </c>
      <c r="U26" s="698"/>
      <c r="V26" s="499">
        <f>[3]Sheet1!V30</f>
        <v>0</v>
      </c>
    </row>
    <row r="27" spans="1:22" ht="15">
      <c r="A27" s="126"/>
      <c r="B27" s="127"/>
      <c r="C27" s="127"/>
      <c r="D27" s="127" t="s">
        <v>490</v>
      </c>
      <c r="E27" s="128"/>
      <c r="F27" s="129" t="s">
        <v>491</v>
      </c>
      <c r="G27" s="129"/>
      <c r="H27" s="130">
        <v>-2658407</v>
      </c>
      <c r="I27" s="327">
        <v>-4.9405459712652178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699">
        <f>[3]Sheet1!T31:U31</f>
        <v>0</v>
      </c>
      <c r="U27" s="700"/>
      <c r="V27" s="499">
        <f>[3]Sheet1!V31</f>
        <v>0</v>
      </c>
    </row>
    <row r="28" spans="1:22" ht="15">
      <c r="A28" s="126"/>
      <c r="B28" s="127"/>
      <c r="C28" s="127" t="s">
        <v>492</v>
      </c>
      <c r="D28" s="127"/>
      <c r="E28" s="128"/>
      <c r="F28" s="129" t="s">
        <v>493</v>
      </c>
      <c r="G28" s="129"/>
      <c r="H28" s="130">
        <v>21524958</v>
      </c>
      <c r="I28" s="327">
        <v>40.003296909973912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699">
        <f>[3]Sheet1!T32:U32</f>
        <v>0</v>
      </c>
      <c r="U28" s="700"/>
      <c r="V28" s="499">
        <f>[3]Sheet1!V32</f>
        <v>0</v>
      </c>
    </row>
    <row r="29" spans="1:22" ht="15">
      <c r="A29" s="126"/>
      <c r="B29" s="127"/>
      <c r="C29" s="127"/>
      <c r="D29" s="127" t="s">
        <v>492</v>
      </c>
      <c r="E29" s="128"/>
      <c r="F29" s="129" t="s">
        <v>494</v>
      </c>
      <c r="G29" s="129"/>
      <c r="H29" s="130">
        <v>48369404</v>
      </c>
      <c r="I29" s="327">
        <v>89.892655287433314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91"/>
      <c r="U29" s="692"/>
      <c r="V29" s="499"/>
    </row>
    <row r="30" spans="1:22" ht="15">
      <c r="A30" s="126"/>
      <c r="B30" s="127"/>
      <c r="C30" s="127"/>
      <c r="D30" s="127" t="s">
        <v>495</v>
      </c>
      <c r="E30" s="128"/>
      <c r="F30" s="129" t="s">
        <v>496</v>
      </c>
      <c r="G30" s="129"/>
      <c r="H30" s="130">
        <v>-26844446</v>
      </c>
      <c r="I30" s="327">
        <v>-49.889358377459395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91"/>
      <c r="U30" s="692"/>
      <c r="V30" s="499"/>
    </row>
    <row r="31" spans="1:22" ht="14.25">
      <c r="A31" s="126"/>
      <c r="B31" s="132"/>
      <c r="C31" s="127" t="s">
        <v>47</v>
      </c>
      <c r="D31" s="127"/>
      <c r="E31" s="128"/>
      <c r="F31" s="133" t="s">
        <v>497</v>
      </c>
      <c r="G31" s="133"/>
      <c r="H31" s="130">
        <v>2325344</v>
      </c>
      <c r="I31" s="327">
        <v>4.3215613451987398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691"/>
      <c r="U31" s="692"/>
      <c r="V31" s="499"/>
    </row>
    <row r="32" spans="1:22" ht="14.25">
      <c r="A32" s="126"/>
      <c r="B32" s="132"/>
      <c r="C32" s="132"/>
      <c r="D32" s="132" t="s">
        <v>47</v>
      </c>
      <c r="E32" s="128"/>
      <c r="F32" s="133" t="s">
        <v>498</v>
      </c>
      <c r="G32" s="133"/>
      <c r="H32" s="130">
        <v>6990466</v>
      </c>
      <c r="I32" s="327">
        <v>12.991509062971351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691"/>
      <c r="U32" s="692"/>
      <c r="V32" s="499"/>
    </row>
    <row r="33" spans="1:22" ht="14.25">
      <c r="A33" s="126"/>
      <c r="B33" s="132"/>
      <c r="C33" s="132"/>
      <c r="D33" s="132" t="s">
        <v>499</v>
      </c>
      <c r="E33" s="128"/>
      <c r="F33" s="133" t="s">
        <v>500</v>
      </c>
      <c r="G33" s="133"/>
      <c r="H33" s="130">
        <v>-4665122</v>
      </c>
      <c r="I33" s="327">
        <v>-8.6699477177726116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691"/>
      <c r="U33" s="692"/>
      <c r="V33" s="499"/>
    </row>
    <row r="34" spans="1:22" ht="14.25">
      <c r="A34" s="126"/>
      <c r="B34" s="132"/>
      <c r="C34" s="132" t="s">
        <v>48</v>
      </c>
      <c r="D34" s="127"/>
      <c r="E34" s="128"/>
      <c r="F34" s="133" t="s">
        <v>501</v>
      </c>
      <c r="G34" s="133"/>
      <c r="H34" s="130">
        <v>420354</v>
      </c>
      <c r="I34" s="327">
        <v>0.78121155308619761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691"/>
      <c r="U34" s="692"/>
      <c r="V34" s="499"/>
    </row>
    <row r="35" spans="1:22" ht="14.25">
      <c r="A35" s="126"/>
      <c r="B35" s="132"/>
      <c r="C35" s="127"/>
      <c r="D35" s="127" t="s">
        <v>48</v>
      </c>
      <c r="E35" s="128"/>
      <c r="F35" s="133" t="s">
        <v>502</v>
      </c>
      <c r="G35" s="133"/>
      <c r="H35" s="130">
        <v>946500</v>
      </c>
      <c r="I35" s="327">
        <v>1.7590334218208608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691"/>
      <c r="U35" s="692"/>
      <c r="V35" s="499"/>
    </row>
    <row r="36" spans="1:22" s="340" customFormat="1" ht="14.25">
      <c r="A36" s="126"/>
      <c r="B36" s="132"/>
      <c r="C36" s="132"/>
      <c r="D36" s="127" t="s">
        <v>503</v>
      </c>
      <c r="E36" s="128"/>
      <c r="F36" s="133" t="s">
        <v>504</v>
      </c>
      <c r="G36" s="133"/>
      <c r="H36" s="130">
        <v>-526146</v>
      </c>
      <c r="I36" s="327">
        <v>-0.97782186873466304</v>
      </c>
      <c r="J36" s="137"/>
      <c r="K36" s="134"/>
      <c r="L36" s="134"/>
      <c r="M36" s="134"/>
      <c r="N36" s="134"/>
      <c r="O36" s="135"/>
      <c r="P36" s="135"/>
      <c r="Q36" s="136"/>
      <c r="R36" s="341"/>
      <c r="S36" s="341"/>
      <c r="T36" s="691"/>
      <c r="U36" s="692"/>
      <c r="V36" s="499"/>
    </row>
    <row r="37" spans="1:22" ht="14.25">
      <c r="A37" s="126"/>
      <c r="B37" s="134"/>
      <c r="C37" s="134" t="s">
        <v>200</v>
      </c>
      <c r="D37" s="134"/>
      <c r="E37" s="135"/>
      <c r="F37" s="137" t="s">
        <v>505</v>
      </c>
      <c r="G37" s="137"/>
      <c r="H37" s="138">
        <v>5611878</v>
      </c>
      <c r="I37" s="328">
        <v>10.42945690563255</v>
      </c>
      <c r="J37" s="137"/>
      <c r="K37" s="132"/>
      <c r="L37" s="132"/>
      <c r="M37" s="134"/>
      <c r="N37" s="134"/>
      <c r="O37" s="135"/>
      <c r="P37" s="135"/>
      <c r="Q37" s="136"/>
      <c r="R37" s="341"/>
      <c r="S37" s="341"/>
      <c r="T37" s="691"/>
      <c r="U37" s="692"/>
      <c r="V37" s="499"/>
    </row>
    <row r="38" spans="1:22" ht="14.25">
      <c r="A38" s="126"/>
      <c r="B38" s="132"/>
      <c r="C38" s="127"/>
      <c r="D38" s="127" t="s">
        <v>200</v>
      </c>
      <c r="E38" s="128"/>
      <c r="F38" s="133" t="s">
        <v>506</v>
      </c>
      <c r="G38" s="133"/>
      <c r="H38" s="130">
        <v>10293233</v>
      </c>
      <c r="I38" s="327">
        <v>19.129573022281463</v>
      </c>
      <c r="J38" s="137"/>
      <c r="K38" s="132"/>
      <c r="L38" s="132"/>
      <c r="M38" s="132"/>
      <c r="N38" s="134"/>
      <c r="O38" s="135"/>
      <c r="P38" s="135"/>
      <c r="Q38" s="136"/>
      <c r="R38" s="341"/>
      <c r="S38" s="341"/>
      <c r="T38" s="691"/>
      <c r="U38" s="692"/>
      <c r="V38" s="499"/>
    </row>
    <row r="39" spans="1:22" ht="15">
      <c r="A39" s="126"/>
      <c r="B39" s="134"/>
      <c r="C39" s="134"/>
      <c r="D39" s="134" t="s">
        <v>507</v>
      </c>
      <c r="E39" s="135"/>
      <c r="F39" s="129" t="s">
        <v>508</v>
      </c>
      <c r="G39" s="129"/>
      <c r="H39" s="130">
        <v>-4681355</v>
      </c>
      <c r="I39" s="327">
        <v>-8.7001161166489123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691"/>
      <c r="U39" s="692"/>
      <c r="V39" s="499"/>
    </row>
    <row r="40" spans="1:22" ht="15">
      <c r="A40" s="126" t="s">
        <v>509</v>
      </c>
      <c r="B40" s="134"/>
      <c r="C40" s="134"/>
      <c r="D40" s="134"/>
      <c r="E40" s="135"/>
      <c r="F40" s="129"/>
      <c r="G40" s="129"/>
      <c r="H40" s="130">
        <v>53807960</v>
      </c>
      <c r="I40" s="328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691"/>
      <c r="U40" s="692"/>
      <c r="V40" s="499"/>
    </row>
    <row r="41" spans="1:22" ht="11.65" customHeight="1">
      <c r="A41" s="139"/>
      <c r="B41" s="140"/>
      <c r="C41" s="140"/>
      <c r="D41" s="140"/>
      <c r="E41" s="141"/>
      <c r="F41" s="142"/>
      <c r="G41" s="142"/>
      <c r="H41" s="143"/>
      <c r="I41" s="329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693"/>
      <c r="U41" s="694"/>
      <c r="V41" s="500"/>
    </row>
    <row r="42" spans="1:22" ht="14.25" customHeight="1">
      <c r="A42" s="683" t="s">
        <v>327</v>
      </c>
      <c r="B42" s="683"/>
      <c r="C42" s="683"/>
      <c r="D42" s="683"/>
      <c r="E42" s="683"/>
      <c r="F42" s="683"/>
      <c r="G42" s="684">
        <v>0</v>
      </c>
      <c r="H42" s="684"/>
      <c r="L42" s="683" t="s">
        <v>328</v>
      </c>
      <c r="M42" s="683"/>
      <c r="N42" s="683"/>
      <c r="O42" s="683"/>
      <c r="P42" s="683"/>
      <c r="Q42" s="683"/>
      <c r="R42" s="683"/>
      <c r="S42" s="684">
        <v>0</v>
      </c>
      <c r="T42" s="684"/>
      <c r="U42" s="684"/>
    </row>
    <row r="43" spans="1:22" ht="14.25">
      <c r="A43" s="685" t="s">
        <v>8</v>
      </c>
      <c r="B43" s="685"/>
      <c r="D43" s="549" t="s">
        <v>464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4:U24"/>
    <mergeCell ref="T23:U23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H15" sqref="H15:L17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5" t="str">
        <f>封面!$A$4</f>
        <v>彰化縣地方教育發展基金－彰化縣秀水鄉馬興國民小學</v>
      </c>
      <c r="B1" s="716"/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7"/>
    </row>
    <row r="2" spans="1:13">
      <c r="A2" s="716"/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7"/>
    </row>
    <row r="3" spans="1:13">
      <c r="M3" s="227"/>
    </row>
    <row r="4" spans="1:13" ht="23.25" customHeight="1">
      <c r="A4" s="718" t="s">
        <v>27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718"/>
    </row>
    <row r="5" spans="1:13" ht="2.25" customHeight="1">
      <c r="A5" s="718"/>
      <c r="B5" s="718"/>
      <c r="C5" s="718"/>
      <c r="D5" s="718"/>
      <c r="E5" s="718"/>
      <c r="F5" s="718"/>
      <c r="G5" s="718"/>
      <c r="H5" s="718"/>
      <c r="I5" s="718"/>
      <c r="J5" s="718"/>
      <c r="K5" s="718"/>
      <c r="L5" s="718"/>
      <c r="M5" s="718"/>
    </row>
    <row r="6" spans="1:13" ht="16.5">
      <c r="A6" s="719" t="str">
        <f>封面!$E$10&amp;封面!$H$10&amp;封面!$I$10&amp;封面!$J$10&amp;封面!$K$10&amp;封面!L10</f>
        <v>中華民國112年8月份</v>
      </c>
      <c r="B6" s="719"/>
      <c r="C6" s="719"/>
      <c r="D6" s="719"/>
      <c r="E6" s="719"/>
      <c r="F6" s="719"/>
      <c r="G6" s="719"/>
      <c r="H6" s="719"/>
      <c r="I6" s="719"/>
      <c r="J6" s="719"/>
      <c r="K6" s="719"/>
      <c r="L6" s="719"/>
      <c r="M6" s="719"/>
    </row>
    <row r="7" spans="1:13" ht="10.5" customHeight="1"/>
    <row r="8" spans="1:13" ht="16.5">
      <c r="A8" s="658" t="s">
        <v>1</v>
      </c>
      <c r="B8" s="658"/>
      <c r="C8" s="658"/>
      <c r="D8" s="658"/>
      <c r="E8" s="658"/>
      <c r="F8" s="658"/>
      <c r="G8" s="658"/>
      <c r="H8" s="658"/>
      <c r="I8" s="658"/>
      <c r="J8" s="658"/>
      <c r="K8" s="658"/>
      <c r="L8" s="658"/>
      <c r="M8" s="658"/>
    </row>
    <row r="9" spans="1:13" ht="1.5" customHeight="1"/>
    <row r="10" spans="1:13" s="5" customFormat="1" ht="32.25" customHeight="1">
      <c r="A10" s="16"/>
      <c r="B10" s="709" t="s">
        <v>28</v>
      </c>
      <c r="C10" s="710"/>
      <c r="D10" s="711" t="s">
        <v>29</v>
      </c>
      <c r="E10" s="714" t="s">
        <v>30</v>
      </c>
      <c r="F10" s="709"/>
      <c r="G10" s="709"/>
      <c r="H10" s="720" t="s">
        <v>205</v>
      </c>
      <c r="I10" s="721"/>
      <c r="J10" s="721"/>
      <c r="K10" s="721"/>
      <c r="L10" s="721"/>
      <c r="M10" s="226"/>
    </row>
    <row r="11" spans="1:13" s="5" customFormat="1" ht="16.5" hidden="1" customHeight="1">
      <c r="B11" s="722" t="s">
        <v>31</v>
      </c>
      <c r="C11" s="711" t="s">
        <v>32</v>
      </c>
      <c r="D11" s="712"/>
      <c r="E11" s="711" t="s">
        <v>33</v>
      </c>
      <c r="F11" s="711" t="s">
        <v>34</v>
      </c>
      <c r="G11" s="711" t="s">
        <v>35</v>
      </c>
      <c r="H11" s="711" t="s">
        <v>33</v>
      </c>
      <c r="I11" s="711" t="s">
        <v>34</v>
      </c>
      <c r="J11" s="726" t="s">
        <v>197</v>
      </c>
      <c r="K11" s="727"/>
      <c r="L11" s="728"/>
      <c r="M11" s="146"/>
    </row>
    <row r="12" spans="1:13" s="5" customFormat="1" ht="16.5">
      <c r="A12" s="16"/>
      <c r="B12" s="723"/>
      <c r="C12" s="724"/>
      <c r="D12" s="713"/>
      <c r="E12" s="724"/>
      <c r="F12" s="724"/>
      <c r="G12" s="724"/>
      <c r="H12" s="725"/>
      <c r="I12" s="725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6"/>
      <c r="D13" s="336"/>
      <c r="E13" s="336"/>
      <c r="H13" s="14"/>
      <c r="I13" s="14"/>
      <c r="J13" s="14"/>
      <c r="K13" s="14"/>
      <c r="L13" s="14"/>
      <c r="M13" s="14"/>
    </row>
    <row r="14" spans="1:13" hidden="1">
      <c r="C14" s="336"/>
      <c r="D14" s="336"/>
      <c r="E14" s="336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7"/>
      <c r="D15" s="388" t="s">
        <v>36</v>
      </c>
      <c r="E15" s="389"/>
      <c r="F15" s="274"/>
      <c r="G15" s="275"/>
      <c r="H15" s="276">
        <v>5164543</v>
      </c>
      <c r="I15" s="276">
        <v>5723000</v>
      </c>
      <c r="J15" s="276">
        <v>-558457</v>
      </c>
      <c r="K15" s="276"/>
      <c r="L15" s="277">
        <v>-9.7581163725318909</v>
      </c>
      <c r="M15" s="144"/>
    </row>
    <row r="16" spans="1:13" ht="12.75" hidden="1" customHeight="1">
      <c r="A16" s="6"/>
      <c r="B16" s="152"/>
      <c r="C16" s="372"/>
      <c r="D16" s="373"/>
      <c r="E16" s="374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0"/>
      <c r="D17" s="391" t="s">
        <v>37</v>
      </c>
      <c r="E17" s="389"/>
      <c r="F17" s="274"/>
      <c r="G17" s="275"/>
      <c r="H17" s="276">
        <v>26785086</v>
      </c>
      <c r="I17" s="276">
        <v>28764000</v>
      </c>
      <c r="J17" s="276">
        <v>-1978914</v>
      </c>
      <c r="K17" s="276"/>
      <c r="L17" s="277">
        <v>-6.8798289528577401</v>
      </c>
      <c r="M17" s="144"/>
    </row>
    <row r="18" spans="1:13" ht="12.75" hidden="1" customHeight="1">
      <c r="B18" s="153"/>
      <c r="C18" s="373"/>
      <c r="D18" s="392"/>
      <c r="E18" s="374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3"/>
      <c r="D19" s="373"/>
      <c r="E19" s="374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87"/>
      <c r="D20" s="388" t="s">
        <v>36</v>
      </c>
      <c r="E20" s="389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2"/>
      <c r="D21" s="373"/>
      <c r="E21" s="374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0"/>
      <c r="D22" s="391" t="s">
        <v>37</v>
      </c>
      <c r="E22" s="389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F16" sqref="F16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30" t="str">
        <f>封面!$A$4</f>
        <v>彰化縣地方教育發展基金－彰化縣秀水鄉馬興國民小學</v>
      </c>
      <c r="B1" s="730"/>
      <c r="C1" s="730"/>
      <c r="D1" s="730"/>
      <c r="E1" s="730"/>
      <c r="F1" s="730"/>
      <c r="G1" s="731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34" t="s">
        <v>270</v>
      </c>
      <c r="B4" s="734"/>
      <c r="C4" s="734"/>
      <c r="D4" s="734"/>
      <c r="E4" s="734"/>
      <c r="F4" s="734"/>
      <c r="G4" s="731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33" t="str">
        <f>封面!$E$10&amp;封面!$H$10&amp;封面!$I$10&amp;封面!$J$10&amp;封面!$K$10&amp;封面!L10</f>
        <v>中華民國112年8月份</v>
      </c>
      <c r="B6" s="733"/>
      <c r="C6" s="733"/>
      <c r="D6" s="733"/>
      <c r="E6" s="733"/>
      <c r="F6" s="733"/>
      <c r="G6" s="731"/>
      <c r="J6" s="238"/>
      <c r="K6" s="212"/>
    </row>
    <row r="7" spans="1:11" s="82" customFormat="1" ht="14.25" customHeight="1">
      <c r="A7" s="658" t="s">
        <v>39</v>
      </c>
      <c r="B7" s="658"/>
      <c r="C7" s="658"/>
      <c r="D7" s="658"/>
      <c r="E7" s="658"/>
      <c r="F7" s="658"/>
      <c r="G7" s="731"/>
      <c r="J7" s="238"/>
      <c r="K7" s="212"/>
    </row>
    <row r="8" spans="1:11" s="239" customFormat="1" ht="28.5" customHeight="1">
      <c r="A8" s="652" t="s">
        <v>215</v>
      </c>
      <c r="B8" s="652" t="s">
        <v>271</v>
      </c>
      <c r="C8" s="652" t="s">
        <v>272</v>
      </c>
      <c r="D8" s="735" t="s">
        <v>275</v>
      </c>
      <c r="E8" s="736"/>
      <c r="F8" s="660" t="s">
        <v>276</v>
      </c>
      <c r="G8" s="671" t="s">
        <v>277</v>
      </c>
    </row>
    <row r="9" spans="1:11" s="240" customFormat="1" ht="28.5" customHeight="1">
      <c r="A9" s="732"/>
      <c r="B9" s="732"/>
      <c r="C9" s="732"/>
      <c r="D9" s="318" t="s">
        <v>273</v>
      </c>
      <c r="E9" s="318" t="s">
        <v>274</v>
      </c>
      <c r="F9" s="729"/>
      <c r="G9" s="692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19">
        <f t="shared" si="0"/>
        <v>4582542</v>
      </c>
      <c r="E10" s="319">
        <f t="shared" si="0"/>
        <v>64923</v>
      </c>
      <c r="F10" s="319">
        <f t="shared" si="0"/>
        <v>2167103</v>
      </c>
      <c r="G10" s="319">
        <f t="shared" si="0"/>
        <v>43388785</v>
      </c>
    </row>
    <row r="11" spans="1:11" ht="15.75" hidden="1" customHeight="1">
      <c r="A11" s="245"/>
      <c r="B11" s="281"/>
      <c r="C11" s="281"/>
      <c r="D11" s="320"/>
      <c r="E11" s="320"/>
      <c r="F11" s="320"/>
      <c r="G11" s="320"/>
    </row>
    <row r="12" spans="1:11">
      <c r="A12" s="246" t="s">
        <v>208</v>
      </c>
      <c r="B12" s="281"/>
      <c r="C12" s="281"/>
      <c r="D12" s="320"/>
      <c r="E12" s="320"/>
      <c r="F12" s="320"/>
      <c r="G12" s="320">
        <f>B12-C12+D12-E12-F12</f>
        <v>0</v>
      </c>
    </row>
    <row r="13" spans="1:11" ht="15.75" hidden="1" customHeight="1">
      <c r="A13" s="246"/>
      <c r="B13" s="281"/>
      <c r="C13" s="371"/>
      <c r="D13" s="430"/>
      <c r="E13" s="430"/>
      <c r="F13" s="320"/>
      <c r="G13" s="320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1"/>
      <c r="D14" s="430"/>
      <c r="E14" s="430"/>
      <c r="F14" s="320">
        <v>0</v>
      </c>
      <c r="G14" s="320">
        <f t="shared" si="1"/>
        <v>11027358</v>
      </c>
    </row>
    <row r="15" spans="1:11" ht="15.75" hidden="1" customHeight="1">
      <c r="A15" s="246"/>
      <c r="B15" s="281"/>
      <c r="C15" s="431"/>
      <c r="D15" s="430"/>
      <c r="E15" s="430"/>
      <c r="F15" s="320">
        <v>0</v>
      </c>
      <c r="G15" s="320">
        <f t="shared" si="1"/>
        <v>0</v>
      </c>
    </row>
    <row r="16" spans="1:11">
      <c r="A16" s="246" t="s">
        <v>210</v>
      </c>
      <c r="B16" s="433">
        <v>5137300</v>
      </c>
      <c r="C16" s="434">
        <v>2395983</v>
      </c>
      <c r="D16" s="432"/>
      <c r="E16" s="430"/>
      <c r="F16" s="320">
        <v>262424</v>
      </c>
      <c r="G16" s="320">
        <f t="shared" si="1"/>
        <v>2478893</v>
      </c>
    </row>
    <row r="17" spans="1:7" ht="15.75" hidden="1" customHeight="1">
      <c r="A17" s="246"/>
      <c r="B17" s="431"/>
      <c r="C17" s="431"/>
      <c r="D17" s="432"/>
      <c r="E17" s="430"/>
      <c r="F17" s="320">
        <v>0</v>
      </c>
      <c r="G17" s="320">
        <f t="shared" si="1"/>
        <v>0</v>
      </c>
    </row>
    <row r="18" spans="1:7">
      <c r="A18" s="246" t="s">
        <v>211</v>
      </c>
      <c r="B18" s="433">
        <v>48434327</v>
      </c>
      <c r="C18" s="434">
        <v>26141584</v>
      </c>
      <c r="D18" s="430"/>
      <c r="E18" s="430">
        <v>64923</v>
      </c>
      <c r="F18" s="320">
        <v>702862</v>
      </c>
      <c r="G18" s="320">
        <f t="shared" si="1"/>
        <v>21524958</v>
      </c>
    </row>
    <row r="19" spans="1:7" ht="15.75" hidden="1" customHeight="1">
      <c r="A19" s="246"/>
      <c r="B19" s="431"/>
      <c r="C19" s="431"/>
      <c r="D19" s="432"/>
      <c r="E19" s="430"/>
      <c r="F19" s="320">
        <v>0</v>
      </c>
      <c r="G19" s="320">
        <f t="shared" si="1"/>
        <v>0</v>
      </c>
    </row>
    <row r="20" spans="1:7">
      <c r="A20" s="246" t="s">
        <v>212</v>
      </c>
      <c r="B20" s="433">
        <v>5817566</v>
      </c>
      <c r="C20" s="434">
        <v>4243965</v>
      </c>
      <c r="D20" s="434">
        <v>1172900</v>
      </c>
      <c r="E20" s="430"/>
      <c r="F20" s="320">
        <v>421157</v>
      </c>
      <c r="G20" s="320">
        <f t="shared" si="1"/>
        <v>2325344</v>
      </c>
    </row>
    <row r="21" spans="1:7" ht="15.75" hidden="1" customHeight="1">
      <c r="A21" s="246"/>
      <c r="B21" s="431"/>
      <c r="C21" s="431"/>
      <c r="D21" s="432"/>
      <c r="E21" s="430"/>
      <c r="F21" s="320">
        <v>0</v>
      </c>
      <c r="G21" s="320">
        <f t="shared" si="1"/>
        <v>0</v>
      </c>
    </row>
    <row r="22" spans="1:7">
      <c r="A22" s="246" t="s">
        <v>213</v>
      </c>
      <c r="B22" s="433">
        <v>634500</v>
      </c>
      <c r="C22" s="434">
        <v>497503</v>
      </c>
      <c r="D22" s="434">
        <v>312000</v>
      </c>
      <c r="E22" s="430"/>
      <c r="F22" s="320">
        <v>28643</v>
      </c>
      <c r="G22" s="320">
        <f t="shared" si="1"/>
        <v>420354</v>
      </c>
    </row>
    <row r="23" spans="1:7" ht="15.75" hidden="1" customHeight="1">
      <c r="A23" s="246"/>
      <c r="B23" s="431"/>
      <c r="C23" s="431"/>
      <c r="D23" s="432"/>
      <c r="E23" s="320"/>
      <c r="F23" s="320">
        <v>0</v>
      </c>
      <c r="G23" s="320">
        <f t="shared" si="1"/>
        <v>0</v>
      </c>
    </row>
    <row r="24" spans="1:7">
      <c r="A24" s="246" t="s">
        <v>214</v>
      </c>
      <c r="B24" s="433">
        <v>7195591</v>
      </c>
      <c r="C24" s="434">
        <v>3929338</v>
      </c>
      <c r="D24" s="434">
        <v>3097642</v>
      </c>
      <c r="E24" s="320"/>
      <c r="F24" s="320">
        <v>752017</v>
      </c>
      <c r="G24" s="320">
        <f t="shared" si="1"/>
        <v>5611878</v>
      </c>
    </row>
    <row r="25" spans="1:7" ht="15.75" hidden="1" customHeight="1">
      <c r="A25" s="246"/>
      <c r="B25" s="281"/>
      <c r="C25" s="281"/>
      <c r="D25" s="320"/>
      <c r="E25" s="320"/>
      <c r="F25" s="320"/>
      <c r="G25" s="320">
        <f t="shared" si="1"/>
        <v>0</v>
      </c>
    </row>
    <row r="26" spans="1:7">
      <c r="A26" s="246" t="s">
        <v>457</v>
      </c>
      <c r="B26" s="281"/>
      <c r="C26" s="281"/>
      <c r="D26" s="320"/>
      <c r="E26" s="320"/>
      <c r="F26" s="320"/>
      <c r="G26" s="320">
        <f t="shared" si="1"/>
        <v>0</v>
      </c>
    </row>
    <row r="27" spans="1:7" ht="15.75" hidden="1" customHeight="1">
      <c r="A27" s="246"/>
      <c r="B27" s="281"/>
      <c r="C27" s="281"/>
      <c r="D27" s="320"/>
      <c r="E27" s="320"/>
      <c r="F27" s="320"/>
      <c r="G27" s="320">
        <f t="shared" si="1"/>
        <v>0</v>
      </c>
    </row>
    <row r="28" spans="1:7">
      <c r="A28" s="246" t="s">
        <v>458</v>
      </c>
      <c r="B28" s="281"/>
      <c r="C28" s="281"/>
      <c r="D28" s="320"/>
      <c r="E28" s="320"/>
      <c r="F28" s="320"/>
      <c r="G28" s="320">
        <f t="shared" si="1"/>
        <v>0</v>
      </c>
    </row>
    <row r="29" spans="1:7" ht="15.75" hidden="1" customHeight="1">
      <c r="A29" s="246"/>
      <c r="B29" s="281"/>
      <c r="C29" s="281"/>
      <c r="D29" s="320"/>
      <c r="E29" s="320"/>
      <c r="F29" s="320"/>
      <c r="G29" s="320">
        <f t="shared" si="1"/>
        <v>0</v>
      </c>
    </row>
    <row r="30" spans="1:7">
      <c r="A30" s="246" t="s">
        <v>459</v>
      </c>
      <c r="B30" s="281"/>
      <c r="C30" s="281"/>
      <c r="D30" s="320"/>
      <c r="E30" s="320"/>
      <c r="F30" s="320"/>
      <c r="G30" s="320">
        <f t="shared" si="1"/>
        <v>0</v>
      </c>
    </row>
    <row r="31" spans="1:7" hidden="1">
      <c r="A31" s="246"/>
      <c r="B31" s="281"/>
      <c r="C31" s="281"/>
      <c r="D31" s="320"/>
      <c r="E31" s="320"/>
      <c r="F31" s="320"/>
      <c r="G31" s="320"/>
    </row>
    <row r="32" spans="1:7">
      <c r="A32" s="246" t="s">
        <v>49</v>
      </c>
      <c r="B32" s="281"/>
      <c r="C32" s="281"/>
      <c r="D32" s="320"/>
      <c r="E32" s="320"/>
      <c r="F32" s="320"/>
      <c r="G32" s="320"/>
    </row>
    <row r="33" spans="1:7" hidden="1">
      <c r="A33" s="246"/>
      <c r="B33" s="281"/>
      <c r="C33" s="281"/>
      <c r="D33" s="320"/>
      <c r="E33" s="320"/>
      <c r="F33" s="320"/>
      <c r="G33" s="320"/>
    </row>
    <row r="34" spans="1:7">
      <c r="A34" s="246" t="s">
        <v>202</v>
      </c>
      <c r="B34" s="281"/>
      <c r="C34" s="281"/>
      <c r="D34" s="320"/>
      <c r="E34" s="320"/>
      <c r="F34" s="320"/>
      <c r="G34" s="320"/>
    </row>
    <row r="35" spans="1:7">
      <c r="A35" s="246" t="s">
        <v>50</v>
      </c>
      <c r="B35" s="281"/>
      <c r="C35" s="281"/>
      <c r="D35" s="320"/>
      <c r="E35" s="320"/>
      <c r="F35" s="320"/>
      <c r="G35" s="320"/>
    </row>
    <row r="36" spans="1:7" hidden="1">
      <c r="A36" s="246"/>
      <c r="B36" s="281"/>
      <c r="C36" s="281"/>
      <c r="D36" s="320"/>
      <c r="E36" s="320"/>
      <c r="F36" s="320"/>
      <c r="G36" s="320"/>
    </row>
    <row r="37" spans="1:7">
      <c r="A37" s="246" t="s">
        <v>460</v>
      </c>
      <c r="B37" s="281"/>
      <c r="C37" s="281"/>
      <c r="D37" s="320"/>
      <c r="E37" s="320"/>
      <c r="F37" s="320"/>
      <c r="G37" s="320"/>
    </row>
    <row r="38" spans="1:7" hidden="1">
      <c r="A38" s="246"/>
      <c r="B38" s="281"/>
      <c r="C38" s="281"/>
      <c r="D38" s="320"/>
      <c r="E38" s="320"/>
      <c r="F38" s="320"/>
      <c r="G38" s="320"/>
    </row>
    <row r="39" spans="1:7">
      <c r="A39" s="246" t="s">
        <v>461</v>
      </c>
      <c r="B39" s="281"/>
      <c r="C39" s="281"/>
      <c r="D39" s="320"/>
      <c r="E39" s="320"/>
      <c r="F39" s="320"/>
      <c r="G39" s="320"/>
    </row>
    <row r="40" spans="1:7" hidden="1">
      <c r="A40" s="246"/>
      <c r="B40" s="281"/>
      <c r="C40" s="281"/>
      <c r="D40" s="320"/>
      <c r="E40" s="320"/>
      <c r="F40" s="320"/>
      <c r="G40" s="320">
        <f t="shared" si="1"/>
        <v>0</v>
      </c>
    </row>
    <row r="41" spans="1:7">
      <c r="A41" s="247" t="s">
        <v>203</v>
      </c>
      <c r="B41" s="282"/>
      <c r="C41" s="282"/>
      <c r="D41" s="321"/>
      <c r="E41" s="321"/>
      <c r="F41" s="321"/>
      <c r="G41" s="321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2023-08-31T06:06:32Z</cp:lastPrinted>
  <dcterms:created xsi:type="dcterms:W3CDTF">2016-11-01T23:05:09Z</dcterms:created>
  <dcterms:modified xsi:type="dcterms:W3CDTF">2023-11-30T03:43:09Z</dcterms:modified>
</cp:coreProperties>
</file>