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6CDBC19D-3230-422B-887A-60505991D83D}" xr6:coauthVersionLast="36" xr6:coauthVersionMax="36" xr10:uidLastSave="{00000000-0000-0000-0000-000000000000}"/>
  <bookViews>
    <workbookView xWindow="0" yWindow="0" windowWidth="28800" windowHeight="11400" tabRatio="800" firstSheet="2" activeTab="12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D30" i="25" l="1"/>
  <c r="E28" i="25"/>
  <c r="D28" i="25"/>
  <c r="D27" i="25"/>
  <c r="D25" i="25"/>
  <c r="Z117" i="26"/>
  <c r="Y117" i="26"/>
  <c r="Y94" i="26"/>
  <c r="Y89" i="26"/>
  <c r="Y14" i="26"/>
  <c r="B16" i="11"/>
  <c r="N36" i="23"/>
  <c r="N35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6" i="23"/>
  <c r="N15" i="23"/>
  <c r="AG16" i="3" l="1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G15" i="21" l="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O9" i="14" l="1"/>
  <c r="O10" i="14" s="1"/>
  <c r="N4" i="12" l="1"/>
  <c r="D29" i="24" l="1"/>
  <c r="C29" i="24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C2" i="3"/>
  <c r="F31" i="25"/>
  <c r="F26" i="25" s="1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29" i="21"/>
  <c r="G30" i="21"/>
  <c r="G40" i="21"/>
  <c r="G41" i="21"/>
  <c r="G12" i="21"/>
  <c r="F11" i="15"/>
  <c r="D11" i="15"/>
  <c r="E13" i="15"/>
  <c r="E28" i="24" l="1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<sst xmlns="http://schemas.openxmlformats.org/spreadsheetml/2006/main" count="986" uniqueCount="770">
  <si>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</si>
  <si>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</si>
  <si>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</si>
  <si>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</si>
  <si>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</si>
  <si>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</si>
  <si>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</si>
  <si>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</si>
  <si>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</si>
  <si>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</si>
  <si>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</si>
  <si>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</si>
  <si>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</si>
  <si>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</si>
  <si>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</si>
  <si>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</si>
  <si>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</si>
  <si>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</si>
  <si>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</si>
  <si>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</si>
  <si>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</si>
  <si>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</si>
  <si>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</si>
  <si>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</si>
  <si>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</si>
  <si>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</si>
  <si>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</si>
  <si>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</si>
  <si>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</si>
  <si>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</si>
  <si>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</si>
  <si>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</si>
  <si>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</si>
  <si>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</si>
  <si>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</si>
  <si>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</si>
  <si>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</si>
  <si>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</si>
  <si>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</si>
  <si>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</si>
  <si>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</si>
  <si>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</si>
  <si>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</si>
  <si>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</si>
  <si>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</si>
  <si>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</si>
  <si>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</si>
  <si>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</si>
  <si>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</si>
  <si>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</si>
  <si>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</si>
  <si>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</si>
  <si>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</si>
  <si>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</si>
  <si>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</si>
  <si>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</si>
  <si>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</si>
  <si>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</si>
  <si>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</si>
  <si>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</si>
  <si>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</si>
  <si>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</si>
  <si>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</si>
  <si>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</si>
  <si>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</si>
  <si>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</si>
  <si>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</si>
  <si>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</si>
  <si>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</si>
  <si>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</si>
  <si>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</si>
  <si>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</si>
  <si>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</si>
  <si>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</si>
  <si>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</si>
  <si>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</si>
  <si>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</si>
  <si>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</si>
  <si>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</si>
  <si>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</si>
  <si>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</si>
  <si>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</si>
  <si>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</si>
  <si>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</si>
  <si>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</si>
  <si>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</si>
  <si>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</si>
  <si>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</si>
  <si>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</si>
  <si>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</si>
  <si>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</si>
  <si>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</si>
  <si>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</si>
  <si>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</si>
  <si>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</si>
  <si>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</si>
  <si>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</si>
  <si>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</si>
  <si>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</si>
  <si>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</si>
  <si>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</si>
  <si>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</si>
  <si>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</si>
  <si>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</si>
  <si>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</si>
  <si>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</si>
  <si>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</si>
  <si>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</si>
  <si>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</si>
  <si>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</si>
  <si>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</si>
  <si>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</si>
  <si>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</si>
  <si>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</si>
  <si>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</si>
  <si>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</si>
  <si>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</si>
  <si>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</si>
  <si>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</si>
  <si>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</si>
  <si>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</si>
  <si>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</si>
  <si>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</si>
  <si>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</si>
  <si>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</si>
  <si>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</si>
  <si>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</si>
  <si>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</si>
  <si>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</si>
  <si>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</si>
  <si>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</si>
  <si>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</si>
  <si>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</si>
  <si>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</si>
  <si>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</si>
  <si>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</si>
  <si>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</si>
  <si>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</si>
  <si>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</si>
  <si>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</si>
  <si>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</si>
  <si>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</si>
  <si>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</si>
  <si>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</si>
  <si>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</si>
  <si>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</si>
  <si>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</si>
  <si>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</si>
  <si>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</si>
  <si>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</si>
  <si>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</si>
  <si>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</si>
  <si>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</si>
  <si>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</si>
  <si>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</si>
  <si>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</si>
  <si>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</si>
  <si>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</si>
  <si>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</si>
  <si>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</si>
  <si>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</si>
  <si>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</si>
  <si>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</si>
  <si>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</si>
  <si>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</si>
  <si>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</si>
  <si>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</si>
  <si>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</si>
  <si>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</si>
  <si>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</si>
  <si>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</si>
  <si>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</si>
  <si>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</si>
  <si>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</si>
  <si>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</si>
  <si>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</si>
  <si>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</si>
  <si>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</si>
  <si>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</si>
  <si>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</si>
  <si>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</si>
  <si>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</si>
  <si>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</si>
  <si>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</si>
  <si>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</si>
  <si>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</si>
  <si>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</si>
  <si>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</si>
  <si>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</si>
  <si>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</si>
  <si>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</si>
  <si>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</si>
  <si>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</si>
  <si>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</si>
  <si>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</si>
  <si>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</si>
  <si>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</si>
  <si>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</si>
  <si>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</si>
  <si>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</si>
  <si>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</si>
  <si>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</si>
  <si>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</si>
  <si>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</si>
  <si>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</si>
  <si>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</si>
  <si>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</si>
  <si>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</si>
  <si>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</si>
  <si>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</si>
  <si>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</si>
  <si>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</si>
  <si>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</si>
  <si>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</si>
  <si>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</si>
  <si>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</si>
  <si>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</si>
  <si>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</si>
  <si>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</si>
  <si>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</si>
  <si>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</si>
  <si>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</si>
  <si>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</si>
  <si>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</si>
  <si>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</si>
  <si>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</si>
  <si>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</si>
  <si>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</si>
  <si>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</si>
  <si>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</si>
  <si>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</si>
  <si>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</si>
  <si>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</si>
  <si>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</si>
  <si>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</si>
  <si>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</si>
  <si>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</si>
  <si>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</si>
  <si>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</si>
  <si>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</si>
  <si>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</si>
  <si>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</si>
  <si>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</si>
  <si>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</si>
  <si>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</si>
  <si>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</si>
  <si>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</si>
  <si>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</si>
  <si>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</si>
  <si>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</si>
  <si>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</si>
  <si>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</si>
  <si>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</si>
  <si>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</si>
  <si>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</si>
  <si>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</si>
  <si>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</si>
  <si>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</si>
  <si>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</si>
  <si>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</si>
  <si>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</si>
  <si>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</si>
  <si>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</si>
  <si>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</si>
  <si>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</si>
  <si>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</si>
  <si>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</si>
  <si>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</si>
  <si>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</si>
  <si>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</si>
  <si>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</si>
  <si>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</si>
  <si>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</si>
  <si>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</si>
  <si>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</si>
  <si>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</si>
  <si>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</si>
  <si>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</si>
  <si>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</si>
  <si>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</si>
  <si>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</si>
  <si>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</si>
  <si>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</si>
  <si>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</si>
  <si>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</si>
  <si>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</si>
  <si>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</si>
  <si>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</si>
  <si>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</si>
  <si>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</si>
  <si>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</si>
  <si>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</si>
  <si>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</si>
  <si>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</si>
  <si>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</si>
  <si>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</si>
  <si>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</si>
  <si>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</si>
  <si>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</si>
  <si>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</si>
  <si>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</si>
  <si>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</si>
  <si>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</si>
  <si>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</si>
  <si>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</si>
  <si>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</si>
  <si>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</si>
  <si>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</si>
  <si>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</si>
  <si>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</si>
  <si>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</si>
  <si>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</si>
  <si>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</si>
  <si>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</si>
  <si>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</si>
  <si>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</si>
  <si>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</si>
  <si>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</si>
  <si>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</si>
  <si>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</si>
  <si>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</si>
  <si>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</si>
  <si>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</si>
  <si>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</si>
  <si>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</si>
  <si>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</si>
  <si>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</si>
  <si>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</si>
  <si>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</si>
  <si>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</si>
  <si>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</si>
  <si>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</si>
  <si>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</si>
  <si>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</si>
  <si>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</si>
  <si>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</si>
  <si>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</si>
  <si>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</si>
  <si>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</si>
  <si>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</si>
  <si>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</si>
  <si>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</si>
  <si>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</si>
  <si>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</si>
  <si>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</si>
  <si>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</si>
  <si>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</si>
  <si>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</si>
  <si>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</si>
  <si>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</si>
  <si>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</si>
  <si>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</si>
  <si>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</si>
  <si>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</si>
  <si>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</si>
  <si>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</si>
  <si>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</si>
  <si>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</si>
  <si>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</si>
  <si>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</si>
  <si>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</si>
  <si>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</si>
  <si>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</si>
  <si>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</si>
  <si>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</si>
  <si>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</si>
  <si>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</si>
  <si>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</si>
  <si>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</si>
  <si>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</si>
  <si>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</si>
  <si>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</si>
  <si>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</si>
  <si>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</si>
  <si>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</si>
  <si>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</si>
  <si>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</si>
  <si>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</si>
  <si>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</si>
  <si>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</si>
  <si>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</si>
  <si>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</si>
  <si>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</si>
  <si>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</si>
  <si>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</si>
  <si>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</si>
  <si>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</si>
  <si>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</si>
  <si>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</si>
  <si>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</si>
  <si>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</si>
  <si>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</si>
  <si>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</si>
  <si>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</si>
  <si>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</si>
  <si>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</si>
  <si>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</si>
  <si>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</si>
  <si>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</si>
  <si>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</si>
  <si>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</si>
  <si>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</si>
  <si>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</si>
  <si>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</si>
  <si>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</si>
  <si>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</si>
  <si>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</si>
  <si>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</si>
  <si>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</si>
  <si>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</si>
  <si>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</si>
  <si>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</si>
  <si>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</si>
  <si>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</si>
  <si>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</si>
  <si>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</si>
  <si>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</si>
  <si>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</si>
  <si>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</si>
  <si>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</si>
  <si>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</si>
  <si>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</si>
  <si>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</si>
  <si>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</si>
  <si>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</si>
  <si>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</si>
  <si>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</si>
  <si>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</si>
  <si>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</si>
  <si>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</si>
  <si>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</si>
  <si>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</si>
  <si>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</si>
  <si>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</si>
  <si>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</si>
  <si>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</si>
  <si>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</si>
  <si>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</si>
  <si>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</si>
  <si>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</si>
  <si>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</si>
  <si>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</si>
  <si>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</si>
  <si>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</si>
  <si>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</si>
  <si>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</si>
  <si>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</si>
  <si>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</si>
  <si>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</si>
  <si>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</si>
  <si>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</si>
  <si>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</si>
  <si>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</si>
  <si>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</si>
  <si>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</si>
  <si>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</si>
  <si>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</si>
  <si>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</si>
  <si>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</si>
  <si>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</si>
  <si>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</si>
  <si>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</si>
  <si>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考量校園環境衛生避免孳生蚊蟲，寶特瓶等容器改為每週由清潔隊少量無償回收，及廢紙市場行情暴跌，致資源回收收入鉅減。</t>
    <phoneticPr fontId="10" type="noConversion"/>
  </si>
  <si>
    <t>因冷氣儲值收入增加。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</si>
  <si>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</si>
  <si>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</si>
  <si>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</si>
  <si>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</si>
  <si>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</si>
  <si>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</si>
  <si>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</si>
  <si>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</si>
  <si>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</si>
  <si>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</si>
  <si>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</si>
  <si>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</si>
  <si>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</si>
  <si>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</si>
  <si>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</si>
  <si>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</si>
  <si>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</si>
  <si>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</si>
  <si>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</si>
  <si>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</si>
  <si>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</si>
  <si>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</si>
  <si>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</si>
  <si>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</si>
  <si>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</si>
  <si>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</si>
  <si>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</si>
  <si>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</si>
  <si>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</si>
  <si>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</si>
  <si>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</si>
  <si>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</si>
  <si>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</si>
  <si>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</si>
  <si>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</si>
  <si>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</si>
  <si>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</si>
  <si>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</si>
  <si>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</si>
  <si>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</si>
  <si>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</si>
  <si>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</si>
  <si>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</si>
  <si>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</si>
  <si>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本表編製基礎係依會計法刪除第二十九條後，納入固定資產及長期負債等科目，與預算編列基礎不同。</t>
    <phoneticPr fontId="10" type="noConversion"/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</si>
  <si>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</si>
  <si>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</si>
  <si>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</si>
  <si>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</si>
  <si>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</si>
  <si>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</si>
  <si>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</si>
  <si>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</si>
  <si>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</si>
  <si>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</si>
  <si>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</si>
  <si>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</si>
  <si>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</si>
  <si>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</si>
  <si>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</si>
  <si>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</si>
  <si>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</si>
  <si>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</si>
  <si>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</si>
  <si>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</si>
  <si>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</si>
  <si>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</si>
  <si>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</si>
  <si>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</si>
  <si>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</si>
  <si>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-39.31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</si>
  <si>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</si>
  <si>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</si>
  <si>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</si>
  <si>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</si>
  <si>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</si>
  <si>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</si>
  <si>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</si>
  <si>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</si>
  <si>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</si>
  <si>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</si>
  <si>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</si>
  <si>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</si>
  <si>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</si>
  <si>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</si>
  <si>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</si>
  <si>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</si>
  <si>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</si>
  <si>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</si>
  <si>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</si>
  <si>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</si>
  <si>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</si>
  <si>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</si>
  <si>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</si>
  <si>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</si>
  <si>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</si>
  <si>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</si>
  <si>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-59.91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</si>
  <si>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</si>
  <si>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</si>
  <si>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</si>
  <si>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</si>
  <si>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</si>
  <si>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</si>
  <si>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</si>
  <si>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</si>
  <si>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</si>
  <si>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</si>
  <si>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</si>
  <si>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</si>
  <si>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</si>
  <si>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</si>
  <si>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</si>
  <si>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</si>
  <si>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</si>
  <si>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</si>
  <si>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</si>
  <si>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</si>
  <si>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</si>
  <si>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</si>
  <si>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</si>
  <si>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</si>
  <si>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</si>
  <si>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</si>
  <si>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</si>
  <si>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</si>
  <si>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</si>
  <si>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</si>
  <si>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</si>
  <si>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</si>
  <si>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</si>
  <si>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</si>
  <si>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</si>
  <si>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</si>
  <si>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</si>
  <si>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</si>
  <si>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</si>
  <si>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</si>
  <si>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</si>
  <si>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</si>
  <si>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</si>
  <si>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</si>
  <si>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-83.12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</si>
  <si>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</si>
  <si>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</si>
  <si>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</si>
  <si>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</si>
  <si>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</si>
  <si>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</si>
  <si>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</si>
  <si>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</si>
  <si>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</si>
  <si>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</si>
  <si>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</si>
  <si>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</si>
  <si>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-11.73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</si>
  <si>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</si>
  <si>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</si>
  <si>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</si>
  <si>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</si>
  <si>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</si>
  <si>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</si>
  <si>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</si>
  <si>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</si>
  <si>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</si>
  <si>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-68.36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</si>
  <si>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</si>
  <si>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</si>
  <si>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</si>
  <si>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</si>
  <si>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</si>
  <si>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</si>
  <si>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</si>
  <si>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</si>
  <si>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</si>
  <si>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</si>
  <si>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</si>
  <si>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</si>
  <si>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</si>
  <si>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</si>
  <si>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</si>
  <si>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</si>
  <si>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</si>
  <si>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</si>
  <si>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-40.07</t>
  </si>
  <si>
    <t>11253017580030100</t>
  </si>
  <si>
    <t>地方教育發展基金</t>
  </si>
  <si>
    <t/>
  </si>
  <si>
    <t>上期結餘</t>
  </si>
  <si>
    <t>112/07/04</t>
  </si>
  <si>
    <t>00049</t>
  </si>
  <si>
    <t>0700486</t>
  </si>
  <si>
    <t>支付數</t>
  </si>
  <si>
    <t>112/07/07</t>
  </si>
  <si>
    <t>00051</t>
  </si>
  <si>
    <t>0701276</t>
  </si>
  <si>
    <t>00050</t>
  </si>
  <si>
    <t>0701285</t>
  </si>
  <si>
    <t>112/07/12</t>
  </si>
  <si>
    <t>00052</t>
  </si>
  <si>
    <t>0702216</t>
  </si>
  <si>
    <t>00053</t>
  </si>
  <si>
    <t>0702217</t>
  </si>
  <si>
    <t>112/07/13</t>
  </si>
  <si>
    <t>00054</t>
  </si>
  <si>
    <t>0702430</t>
  </si>
  <si>
    <t>112/07/19</t>
  </si>
  <si>
    <t>13993420143453</t>
  </si>
  <si>
    <t>收入數</t>
  </si>
  <si>
    <t>00055</t>
  </si>
  <si>
    <t>0703504</t>
  </si>
  <si>
    <t>112/07/31</t>
  </si>
  <si>
    <t>00056</t>
  </si>
  <si>
    <t>0704705</t>
  </si>
  <si>
    <t>00057</t>
  </si>
  <si>
    <t>0704706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</si>
  <si>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</si>
  <si>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</si>
  <si>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</si>
  <si>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</si>
  <si>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中華民國112年1月1日至112年7月31日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</si>
  <si>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</si>
  <si>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</si>
  <si>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</si>
  <si>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</si>
  <si>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</si>
  <si>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</si>
  <si>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</si>
  <si>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</si>
  <si>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</si>
  <si>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</si>
  <si>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</si>
  <si>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</si>
  <si>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</si>
  <si>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</si>
  <si>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</si>
  <si>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</si>
  <si>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</si>
  <si>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</si>
  <si>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</si>
  <si>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</si>
  <si>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</si>
  <si>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</si>
  <si>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</si>
  <si>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</si>
  <si>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</si>
  <si>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</si>
  <si>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</si>
  <si>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</si>
  <si>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</si>
  <si>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</si>
  <si>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</si>
  <si>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</si>
  <si>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</si>
  <si>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</si>
  <si>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</si>
  <si>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</si>
  <si>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</si>
  <si>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</si>
  <si>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</si>
  <si>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</si>
  <si>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</si>
  <si>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</si>
  <si>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</si>
  <si>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</si>
  <si>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</si>
  <si>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</si>
  <si>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</si>
  <si>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</si>
  <si>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</si>
  <si>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</si>
  <si>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</si>
  <si>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</si>
  <si>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</si>
  <si>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</si>
  <si>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</si>
  <si>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</si>
  <si>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</si>
  <si>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</si>
  <si>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</si>
  <si>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</si>
  <si>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</si>
  <si>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</si>
  <si>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</si>
  <si>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</si>
  <si>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</si>
  <si>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</si>
  <si>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</si>
  <si>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</si>
  <si>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</si>
  <si>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</si>
  <si>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</si>
  <si>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</si>
  <si>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</si>
  <si>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</si>
  <si>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</si>
  <si>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</si>
  <si>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</si>
  <si>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</si>
  <si>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</si>
  <si>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</si>
  <si>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</si>
  <si>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</si>
  <si>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</si>
  <si>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總和 :</t>
  </si>
  <si>
    <t>本表編製基礎係依會計法刪除第二十九條後，平衡表已納入固定資產與長期負債等科目，與預算編列基礎不同。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</si>
</sst>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7" fillId="0" borderId="0" xfId="0" applyFont="1" applyAlignment="1"/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4" fillId="0" borderId="0" xfId="7" applyNumberFormat="1" applyFont="1" applyAlignment="1" applyProtection="1">
      <alignment horizontal="right"/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9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23069858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2535075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2244385</v>
          </cell>
        </row>
        <row r="21">
          <cell r="N21">
            <v>290690</v>
          </cell>
        </row>
        <row r="22">
          <cell r="N22">
            <v>20528013</v>
          </cell>
        </row>
        <row r="23">
          <cell r="N23">
            <v>20528013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20603153</v>
          </cell>
        </row>
        <row r="27">
          <cell r="N27">
            <v>18487468</v>
          </cell>
        </row>
        <row r="28">
          <cell r="N28">
            <v>18487468</v>
          </cell>
        </row>
        <row r="29">
          <cell r="N29">
            <v>522240</v>
          </cell>
        </row>
        <row r="30">
          <cell r="N30">
            <v>522240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1592476</v>
          </cell>
        </row>
        <row r="34">
          <cell r="N34">
            <v>1592476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2466705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07" t="s">
        <v>278</v>
      </c>
      <c r="B4" s="608"/>
      <c r="C4" s="608"/>
      <c r="D4" s="608"/>
      <c r="E4" s="608"/>
      <c r="F4" s="608"/>
      <c r="G4" s="608"/>
      <c r="H4" s="608"/>
      <c r="I4" s="608"/>
      <c r="J4" s="608"/>
      <c r="K4" s="608"/>
      <c r="L4" s="608"/>
      <c r="M4" s="608"/>
      <c r="N4" s="608"/>
    </row>
    <row r="5" spans="1:14" ht="59.25" customHeight="1"/>
    <row r="6" spans="1:14" ht="59.25" customHeight="1"/>
    <row r="7" spans="1:14" ht="36.75">
      <c r="C7" s="609" t="s">
        <v>117</v>
      </c>
      <c r="D7" s="609"/>
      <c r="E7" s="609"/>
      <c r="F7" s="609"/>
      <c r="G7" s="609"/>
      <c r="H7" s="609"/>
      <c r="I7" s="609"/>
      <c r="J7" s="609"/>
      <c r="K7" s="609"/>
      <c r="L7" s="609"/>
    </row>
    <row r="8" spans="1:14" ht="51.75" customHeight="1"/>
    <row r="9" spans="1:14" ht="51.75" customHeight="1"/>
    <row r="10" spans="1:14" s="65" customFormat="1" ht="32.25">
      <c r="C10" s="322"/>
      <c r="D10" s="322"/>
      <c r="E10" s="610" t="s">
        <v>118</v>
      </c>
      <c r="F10" s="610"/>
      <c r="G10" s="610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1" t="s">
        <v>121</v>
      </c>
      <c r="C15" s="611"/>
      <c r="D15" s="611"/>
      <c r="E15" s="611"/>
      <c r="F15" s="611"/>
      <c r="H15" s="321"/>
      <c r="I15" s="321" t="s">
        <v>122</v>
      </c>
      <c r="J15" s="321"/>
      <c r="K15" s="321"/>
      <c r="L15" s="321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Q17" sqref="Q17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08" t="str">
        <f>封面!$A$4</f>
        <v>彰化縣地方教育發展基金－彰化縣秀水鄉馬興國民小學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8"/>
      <c r="R1" s="708"/>
      <c r="S1" s="708"/>
      <c r="T1" s="708"/>
      <c r="U1" s="708"/>
      <c r="V1" s="707"/>
      <c r="W1" s="707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62"/>
      <c r="T3" s="762"/>
      <c r="U3" s="762"/>
      <c r="V3" s="762"/>
      <c r="W3" s="762"/>
    </row>
    <row r="4" spans="1:23" ht="19.5">
      <c r="A4" s="708" t="s">
        <v>453</v>
      </c>
      <c r="B4" s="708"/>
      <c r="C4" s="708"/>
      <c r="D4" s="708"/>
      <c r="E4" s="708"/>
      <c r="F4" s="708"/>
      <c r="G4" s="708"/>
      <c r="H4" s="708"/>
      <c r="I4" s="708"/>
      <c r="J4" s="708"/>
      <c r="K4" s="708"/>
      <c r="L4" s="708"/>
      <c r="M4" s="708"/>
      <c r="N4" s="708"/>
      <c r="O4" s="708"/>
      <c r="P4" s="708"/>
      <c r="Q4" s="708"/>
      <c r="R4" s="708"/>
      <c r="S4" s="708"/>
      <c r="T4" s="708"/>
      <c r="U4" s="708"/>
      <c r="V4" s="708"/>
      <c r="W4" s="708"/>
    </row>
    <row r="5" spans="1:23" ht="19.5" customHeight="1">
      <c r="A5" s="709" t="str">
        <f>封面!$E$10&amp;封面!$H$10&amp;封面!$I$10&amp;封面!$J$10&amp;封面!$K$10&amp;封面!L10</f>
        <v>中華民國112年7月份</v>
      </c>
      <c r="B5" s="709"/>
      <c r="C5" s="709"/>
      <c r="D5" s="709"/>
      <c r="E5" s="709"/>
      <c r="F5" s="709"/>
      <c r="G5" s="709"/>
      <c r="H5" s="709"/>
      <c r="I5" s="709"/>
      <c r="J5" s="709"/>
      <c r="K5" s="709"/>
      <c r="L5" s="709"/>
      <c r="M5" s="709"/>
      <c r="N5" s="709"/>
      <c r="O5" s="709"/>
      <c r="P5" s="709"/>
      <c r="Q5" s="709"/>
      <c r="R5" s="709"/>
      <c r="S5" s="709"/>
      <c r="T5" s="709"/>
      <c r="U5" s="709"/>
      <c r="V5" s="709"/>
      <c r="W5" s="709"/>
    </row>
    <row r="6" spans="1:23" ht="12.75" hidden="1">
      <c r="A6" s="709"/>
      <c r="B6" s="709"/>
      <c r="C6" s="709"/>
      <c r="D6" s="709"/>
      <c r="E6" s="709"/>
      <c r="F6" s="709"/>
      <c r="G6" s="709"/>
      <c r="H6" s="709"/>
      <c r="I6" s="709"/>
      <c r="J6" s="709"/>
      <c r="K6" s="709"/>
      <c r="L6" s="709"/>
      <c r="M6" s="709"/>
      <c r="N6" s="709"/>
      <c r="O6" s="709"/>
      <c r="P6" s="709"/>
      <c r="Q6" s="709"/>
      <c r="R6" s="709"/>
      <c r="S6" s="709"/>
      <c r="T6" s="709"/>
      <c r="U6" s="709"/>
      <c r="V6" s="709"/>
      <c r="W6" s="709"/>
    </row>
    <row r="7" spans="1:23" s="9" customFormat="1" ht="16.5">
      <c r="A7" s="763" t="s">
        <v>1</v>
      </c>
      <c r="B7" s="763"/>
      <c r="C7" s="763"/>
      <c r="D7" s="763"/>
      <c r="E7" s="763"/>
      <c r="F7" s="763"/>
      <c r="G7" s="763"/>
      <c r="H7" s="763"/>
      <c r="I7" s="763"/>
      <c r="J7" s="763"/>
      <c r="K7" s="763"/>
      <c r="L7" s="763"/>
      <c r="M7" s="763"/>
      <c r="N7" s="763"/>
      <c r="O7" s="763"/>
      <c r="P7" s="763"/>
      <c r="Q7" s="763"/>
      <c r="R7" s="763"/>
      <c r="S7" s="763"/>
      <c r="T7" s="763"/>
      <c r="U7" s="763"/>
      <c r="V7" s="763"/>
      <c r="W7" s="763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41" t="s">
        <v>455</v>
      </c>
      <c r="B10" s="742"/>
      <c r="C10" s="741" t="s">
        <v>56</v>
      </c>
      <c r="D10" s="747"/>
      <c r="E10" s="747"/>
      <c r="F10" s="747"/>
      <c r="G10" s="748"/>
      <c r="H10" s="757" t="s">
        <v>57</v>
      </c>
      <c r="I10" s="739" t="s">
        <v>55</v>
      </c>
      <c r="J10" s="740"/>
      <c r="K10" s="740"/>
      <c r="L10" s="740"/>
      <c r="M10" s="740"/>
      <c r="N10" s="740"/>
      <c r="O10" s="740"/>
      <c r="P10" s="739" t="s">
        <v>58</v>
      </c>
      <c r="Q10" s="740"/>
      <c r="R10" s="740"/>
      <c r="S10" s="740"/>
      <c r="T10" s="740"/>
      <c r="U10" s="741" t="s">
        <v>59</v>
      </c>
      <c r="V10" s="747"/>
      <c r="W10" s="748"/>
    </row>
    <row r="11" spans="1:23" s="21" customFormat="1" ht="12.75" hidden="1" customHeight="1">
      <c r="A11" s="743"/>
      <c r="B11" s="744"/>
      <c r="C11" s="749"/>
      <c r="D11" s="750"/>
      <c r="E11" s="750"/>
      <c r="F11" s="750"/>
      <c r="G11" s="751"/>
      <c r="H11" s="758"/>
      <c r="I11" s="740"/>
      <c r="J11" s="740"/>
      <c r="K11" s="740"/>
      <c r="L11" s="740"/>
      <c r="M11" s="740"/>
      <c r="N11" s="740"/>
      <c r="O11" s="740"/>
      <c r="P11" s="740"/>
      <c r="Q11" s="740"/>
      <c r="R11" s="740"/>
      <c r="S11" s="740"/>
      <c r="T11" s="740"/>
      <c r="U11" s="749"/>
      <c r="V11" s="750"/>
      <c r="W11" s="751"/>
    </row>
    <row r="12" spans="1:23" s="22" customFormat="1" ht="12.75" customHeight="1">
      <c r="A12" s="743"/>
      <c r="B12" s="744"/>
      <c r="C12" s="749"/>
      <c r="D12" s="750"/>
      <c r="E12" s="750"/>
      <c r="F12" s="750"/>
      <c r="G12" s="751"/>
      <c r="H12" s="758"/>
      <c r="I12" s="740"/>
      <c r="J12" s="740"/>
      <c r="K12" s="740"/>
      <c r="L12" s="740"/>
      <c r="M12" s="740"/>
      <c r="N12" s="740"/>
      <c r="O12" s="740"/>
      <c r="P12" s="740"/>
      <c r="Q12" s="740"/>
      <c r="R12" s="740"/>
      <c r="S12" s="740"/>
      <c r="T12" s="740"/>
      <c r="U12" s="749"/>
      <c r="V12" s="750"/>
      <c r="W12" s="751"/>
    </row>
    <row r="13" spans="1:23" s="5" customFormat="1" ht="12.75" hidden="1" customHeight="1">
      <c r="A13" s="743"/>
      <c r="B13" s="744"/>
      <c r="C13" s="752"/>
      <c r="D13" s="753"/>
      <c r="E13" s="753"/>
      <c r="F13" s="750"/>
      <c r="G13" s="751"/>
      <c r="H13" s="758"/>
      <c r="I13" s="740"/>
      <c r="J13" s="740"/>
      <c r="K13" s="740"/>
      <c r="L13" s="740"/>
      <c r="M13" s="740"/>
      <c r="N13" s="740"/>
      <c r="O13" s="740"/>
      <c r="P13" s="740"/>
      <c r="Q13" s="740"/>
      <c r="R13" s="740"/>
      <c r="S13" s="740"/>
      <c r="T13" s="740"/>
      <c r="U13" s="749"/>
      <c r="V13" s="750"/>
      <c r="W13" s="751"/>
    </row>
    <row r="14" spans="1:23" s="5" customFormat="1" ht="12.75" customHeight="1">
      <c r="A14" s="743"/>
      <c r="B14" s="744"/>
      <c r="C14" s="754"/>
      <c r="D14" s="755"/>
      <c r="E14" s="755"/>
      <c r="F14" s="756"/>
      <c r="G14" s="713"/>
      <c r="H14" s="758"/>
      <c r="I14" s="740"/>
      <c r="J14" s="740"/>
      <c r="K14" s="740"/>
      <c r="L14" s="740"/>
      <c r="M14" s="740"/>
      <c r="N14" s="740"/>
      <c r="O14" s="740"/>
      <c r="P14" s="740"/>
      <c r="Q14" s="740"/>
      <c r="R14" s="740"/>
      <c r="S14" s="740"/>
      <c r="T14" s="740"/>
      <c r="U14" s="749"/>
      <c r="V14" s="750"/>
      <c r="W14" s="751"/>
    </row>
    <row r="15" spans="1:23" s="5" customFormat="1" ht="12.75" customHeight="1">
      <c r="A15" s="743"/>
      <c r="B15" s="744"/>
      <c r="C15" s="759" t="s">
        <v>318</v>
      </c>
      <c r="D15" s="759" t="s">
        <v>319</v>
      </c>
      <c r="E15" s="759" t="s">
        <v>320</v>
      </c>
      <c r="F15" s="757" t="s">
        <v>60</v>
      </c>
      <c r="G15" s="757" t="s">
        <v>61</v>
      </c>
      <c r="H15" s="758"/>
      <c r="I15" s="739" t="s">
        <v>454</v>
      </c>
      <c r="J15" s="740"/>
      <c r="K15" s="740"/>
      <c r="L15" s="740"/>
      <c r="M15" s="739" t="s">
        <v>12</v>
      </c>
      <c r="N15" s="740"/>
      <c r="O15" s="740"/>
      <c r="P15" s="740"/>
      <c r="Q15" s="740"/>
      <c r="R15" s="740"/>
      <c r="S15" s="740"/>
      <c r="T15" s="740"/>
      <c r="U15" s="749"/>
      <c r="V15" s="750"/>
      <c r="W15" s="751"/>
    </row>
    <row r="16" spans="1:23" s="5" customFormat="1" ht="12.75" customHeight="1">
      <c r="A16" s="743"/>
      <c r="B16" s="744"/>
      <c r="C16" s="760"/>
      <c r="D16" s="760"/>
      <c r="E16" s="760"/>
      <c r="F16" s="760"/>
      <c r="G16" s="758"/>
      <c r="H16" s="758"/>
      <c r="I16" s="740"/>
      <c r="J16" s="740"/>
      <c r="K16" s="740"/>
      <c r="L16" s="740"/>
      <c r="M16" s="740"/>
      <c r="N16" s="740"/>
      <c r="O16" s="740"/>
      <c r="P16" s="740"/>
      <c r="Q16" s="740"/>
      <c r="R16" s="740"/>
      <c r="S16" s="740"/>
      <c r="T16" s="740"/>
      <c r="U16" s="749"/>
      <c r="V16" s="750"/>
      <c r="W16" s="751"/>
    </row>
    <row r="17" spans="1:23" s="5" customFormat="1" ht="12.75" customHeight="1">
      <c r="A17" s="743"/>
      <c r="B17" s="744"/>
      <c r="C17" s="760"/>
      <c r="D17" s="760"/>
      <c r="E17" s="760"/>
      <c r="F17" s="760"/>
      <c r="G17" s="758"/>
      <c r="H17" s="758"/>
      <c r="I17" s="739" t="s">
        <v>63</v>
      </c>
      <c r="J17" s="765" t="s">
        <v>62</v>
      </c>
      <c r="K17" s="739" t="s">
        <v>64</v>
      </c>
      <c r="L17" s="761" t="s">
        <v>65</v>
      </c>
      <c r="M17" s="739" t="s">
        <v>4</v>
      </c>
      <c r="N17" s="761" t="s">
        <v>65</v>
      </c>
      <c r="O17" s="740"/>
      <c r="P17" s="740"/>
      <c r="Q17" s="740"/>
      <c r="R17" s="740"/>
      <c r="S17" s="740"/>
      <c r="T17" s="740"/>
      <c r="U17" s="749"/>
      <c r="V17" s="750"/>
      <c r="W17" s="751"/>
    </row>
    <row r="18" spans="1:23" s="5" customFormat="1" ht="12.75" customHeight="1">
      <c r="A18" s="743"/>
      <c r="B18" s="744"/>
      <c r="C18" s="760"/>
      <c r="D18" s="760"/>
      <c r="E18" s="760"/>
      <c r="F18" s="760"/>
      <c r="G18" s="758"/>
      <c r="H18" s="758"/>
      <c r="I18" s="740"/>
      <c r="J18" s="765"/>
      <c r="K18" s="740"/>
      <c r="L18" s="740"/>
      <c r="M18" s="740"/>
      <c r="N18" s="740"/>
      <c r="O18" s="740"/>
      <c r="P18" s="740"/>
      <c r="Q18" s="740"/>
      <c r="R18" s="740"/>
      <c r="S18" s="740"/>
      <c r="T18" s="740"/>
      <c r="U18" s="749"/>
      <c r="V18" s="750"/>
      <c r="W18" s="751"/>
    </row>
    <row r="19" spans="1:23" s="5" customFormat="1" ht="12.75" hidden="1" customHeight="1">
      <c r="A19" s="743"/>
      <c r="B19" s="744"/>
      <c r="C19" s="420"/>
      <c r="D19" s="420"/>
      <c r="E19" s="420"/>
      <c r="F19" s="331"/>
      <c r="G19" s="758"/>
      <c r="H19" s="758"/>
      <c r="I19" s="740"/>
      <c r="J19" s="765"/>
      <c r="K19" s="740"/>
      <c r="L19" s="740"/>
      <c r="M19" s="740"/>
      <c r="N19" s="740"/>
      <c r="O19" s="740"/>
      <c r="P19" s="740"/>
      <c r="Q19" s="740"/>
      <c r="R19" s="740"/>
      <c r="S19" s="740"/>
      <c r="T19" s="740"/>
      <c r="U19" s="749"/>
      <c r="V19" s="750"/>
      <c r="W19" s="751"/>
    </row>
    <row r="20" spans="1:23" s="5" customFormat="1" ht="16.5" hidden="1" customHeight="1">
      <c r="A20" s="745"/>
      <c r="B20" s="746"/>
      <c r="C20" s="421"/>
      <c r="D20" s="421"/>
      <c r="E20" s="421"/>
      <c r="F20" s="328"/>
      <c r="G20" s="714"/>
      <c r="H20" s="714"/>
      <c r="I20" s="740"/>
      <c r="J20" s="765"/>
      <c r="K20" s="740"/>
      <c r="L20" s="740"/>
      <c r="M20" s="740"/>
      <c r="N20" s="740"/>
      <c r="O20" s="740"/>
      <c r="P20" s="740"/>
      <c r="Q20" s="740"/>
      <c r="R20" s="740"/>
      <c r="S20" s="740"/>
      <c r="T20" s="740"/>
      <c r="U20" s="764"/>
      <c r="V20" s="756"/>
      <c r="W20" s="713"/>
    </row>
    <row r="21" spans="1:23" ht="14.25" customHeight="1">
      <c r="A21" s="96" t="s">
        <v>456</v>
      </c>
      <c r="B21" s="97"/>
      <c r="C21" s="394">
        <f>SUM(C23:C24)</f>
        <v>0</v>
      </c>
      <c r="D21" s="394">
        <f t="shared" ref="D21:J22" si="0">SUM(D23:D24)</f>
        <v>0</v>
      </c>
      <c r="E21" s="394">
        <f t="shared" si="0"/>
        <v>0</v>
      </c>
      <c r="F21" s="395">
        <f t="shared" si="0"/>
        <v>0</v>
      </c>
      <c r="G21" s="395">
        <f>SUM(C21:F21)</f>
        <v>0</v>
      </c>
      <c r="H21" s="395">
        <f t="shared" si="0"/>
        <v>0</v>
      </c>
      <c r="I21" s="395">
        <f t="shared" si="0"/>
        <v>0</v>
      </c>
      <c r="J21" s="395">
        <f t="shared" si="0"/>
        <v>0</v>
      </c>
      <c r="K21" s="395">
        <f>SUM(I21:J21)</f>
        <v>0</v>
      </c>
      <c r="L21" s="396">
        <f>IF(K21=0,0,K21/H21)</f>
        <v>0</v>
      </c>
      <c r="M21" s="395">
        <f>H21-K21</f>
        <v>0</v>
      </c>
      <c r="N21" s="397">
        <f>IF(M21=0,0,M21/H21)</f>
        <v>0</v>
      </c>
      <c r="O21" s="398"/>
      <c r="P21" s="399"/>
      <c r="Q21" s="400"/>
      <c r="R21" s="735"/>
      <c r="S21" s="736"/>
      <c r="T21" s="737"/>
      <c r="U21" s="738"/>
      <c r="V21" s="736"/>
      <c r="W21" s="737"/>
    </row>
    <row r="22" spans="1:23" ht="14.25" customHeight="1">
      <c r="A22" s="100" t="s">
        <v>44</v>
      </c>
      <c r="B22" s="99"/>
      <c r="C22" s="401">
        <f>SUM(C24:C25)</f>
        <v>0</v>
      </c>
      <c r="D22" s="401">
        <f t="shared" si="0"/>
        <v>0</v>
      </c>
      <c r="E22" s="401">
        <f t="shared" si="0"/>
        <v>0</v>
      </c>
      <c r="F22" s="402">
        <f t="shared" si="0"/>
        <v>0</v>
      </c>
      <c r="G22" s="402">
        <f>SUM(C22:F22)</f>
        <v>0</v>
      </c>
      <c r="H22" s="402">
        <f t="shared" si="0"/>
        <v>0</v>
      </c>
      <c r="I22" s="402">
        <f t="shared" si="0"/>
        <v>0</v>
      </c>
      <c r="J22" s="402">
        <f t="shared" si="0"/>
        <v>0</v>
      </c>
      <c r="K22" s="402">
        <f>SUM(I22:J22)</f>
        <v>0</v>
      </c>
      <c r="L22" s="403">
        <f>IF(K22=0,0,K22/H22)</f>
        <v>0</v>
      </c>
      <c r="M22" s="402">
        <f>H22-K22</f>
        <v>0</v>
      </c>
      <c r="N22" s="404">
        <f>IF(M22=0,0,M22/H22)</f>
        <v>0</v>
      </c>
      <c r="O22" s="405"/>
      <c r="P22" s="406"/>
      <c r="Q22" s="407"/>
      <c r="R22" s="557"/>
      <c r="S22" s="558"/>
      <c r="T22" s="559"/>
      <c r="U22" s="560"/>
      <c r="V22" s="558"/>
      <c r="W22" s="559"/>
    </row>
    <row r="23" spans="1:23">
      <c r="A23" s="98"/>
      <c r="B23" s="99" t="s">
        <v>44</v>
      </c>
      <c r="C23" s="401"/>
      <c r="D23" s="401"/>
      <c r="E23" s="401"/>
      <c r="F23" s="402"/>
      <c r="G23" s="402">
        <f t="shared" ref="G23:G41" si="1">SUM(C23:F23)</f>
        <v>0</v>
      </c>
      <c r="H23" s="402"/>
      <c r="I23" s="402"/>
      <c r="J23" s="402"/>
      <c r="K23" s="402">
        <f t="shared" ref="K23:K41" si="2">SUM(I23:J23)</f>
        <v>0</v>
      </c>
      <c r="L23" s="403">
        <f t="shared" ref="L23:L41" si="3">IF(K23=0,0,K23/H23)</f>
        <v>0</v>
      </c>
      <c r="M23" s="402">
        <f t="shared" ref="M23:M41" si="4">H23-K23</f>
        <v>0</v>
      </c>
      <c r="N23" s="404">
        <f t="shared" ref="N23:N41" si="5">IF(M23=0,0,M23/H23)</f>
        <v>0</v>
      </c>
      <c r="O23" s="405"/>
      <c r="P23" s="406"/>
      <c r="Q23" s="407"/>
      <c r="R23" s="727"/>
      <c r="S23" s="728"/>
      <c r="T23" s="729"/>
      <c r="U23" s="730"/>
      <c r="V23" s="728"/>
      <c r="W23" s="729"/>
    </row>
    <row r="24" spans="1:23">
      <c r="A24" s="98"/>
      <c r="B24" s="99" t="s">
        <v>49</v>
      </c>
      <c r="C24" s="402"/>
      <c r="D24" s="402"/>
      <c r="E24" s="402"/>
      <c r="F24" s="402"/>
      <c r="G24" s="402">
        <f t="shared" si="1"/>
        <v>0</v>
      </c>
      <c r="H24" s="402"/>
      <c r="I24" s="402"/>
      <c r="J24" s="402"/>
      <c r="K24" s="402">
        <f t="shared" si="2"/>
        <v>0</v>
      </c>
      <c r="L24" s="403">
        <f t="shared" si="3"/>
        <v>0</v>
      </c>
      <c r="M24" s="402">
        <f t="shared" si="4"/>
        <v>0</v>
      </c>
      <c r="N24" s="404">
        <f t="shared" si="5"/>
        <v>0</v>
      </c>
      <c r="O24" s="405"/>
      <c r="P24" s="406"/>
      <c r="Q24" s="407"/>
      <c r="R24" s="727"/>
      <c r="S24" s="728"/>
      <c r="T24" s="729"/>
      <c r="U24" s="730"/>
      <c r="V24" s="728"/>
      <c r="W24" s="729"/>
    </row>
    <row r="25" spans="1:23" ht="14.25" customHeight="1">
      <c r="A25" s="100" t="s">
        <v>45</v>
      </c>
      <c r="B25" s="99"/>
      <c r="C25" s="402">
        <f>SUM(C26:C27)</f>
        <v>0</v>
      </c>
      <c r="D25" s="402">
        <f t="shared" ref="D25" si="6">SUM(D26:D27)</f>
        <v>0</v>
      </c>
      <c r="E25" s="402">
        <f t="shared" ref="E25" si="7">SUM(E26:E27)</f>
        <v>0</v>
      </c>
      <c r="F25" s="402">
        <f t="shared" ref="F25" si="8">SUM(F26:F27)</f>
        <v>0</v>
      </c>
      <c r="G25" s="402">
        <f t="shared" si="1"/>
        <v>0</v>
      </c>
      <c r="H25" s="402">
        <f t="shared" ref="H25" si="9">SUM(H26:H27)</f>
        <v>0</v>
      </c>
      <c r="I25" s="402">
        <f t="shared" ref="I25" si="10">SUM(I26:I27)</f>
        <v>0</v>
      </c>
      <c r="J25" s="402">
        <f t="shared" ref="J25" si="11">SUM(J26:J27)</f>
        <v>0</v>
      </c>
      <c r="K25" s="402">
        <f t="shared" si="2"/>
        <v>0</v>
      </c>
      <c r="L25" s="403">
        <f>IF(K25=0,0,K25/H25)</f>
        <v>0</v>
      </c>
      <c r="M25" s="402">
        <f t="shared" si="4"/>
        <v>0</v>
      </c>
      <c r="N25" s="404">
        <f>IF(M25=0,0,M25/H25)</f>
        <v>0</v>
      </c>
      <c r="O25" s="405"/>
      <c r="P25" s="406"/>
      <c r="Q25" s="407"/>
      <c r="R25" s="727"/>
      <c r="S25" s="728"/>
      <c r="T25" s="729"/>
      <c r="U25" s="730"/>
      <c r="V25" s="728"/>
      <c r="W25" s="729"/>
    </row>
    <row r="26" spans="1:23">
      <c r="A26" s="98"/>
      <c r="B26" s="99" t="s">
        <v>45</v>
      </c>
      <c r="C26" s="402"/>
      <c r="D26" s="402"/>
      <c r="E26" s="402"/>
      <c r="F26" s="402"/>
      <c r="G26" s="402">
        <f t="shared" si="1"/>
        <v>0</v>
      </c>
      <c r="H26" s="402"/>
      <c r="I26" s="402"/>
      <c r="J26" s="402"/>
      <c r="K26" s="402">
        <f t="shared" si="2"/>
        <v>0</v>
      </c>
      <c r="L26" s="403">
        <f t="shared" si="3"/>
        <v>0</v>
      </c>
      <c r="M26" s="402">
        <f t="shared" si="4"/>
        <v>0</v>
      </c>
      <c r="N26" s="404">
        <f t="shared" si="5"/>
        <v>0</v>
      </c>
      <c r="O26" s="405"/>
      <c r="P26" s="406"/>
      <c r="Q26" s="407"/>
      <c r="R26" s="727"/>
      <c r="S26" s="728"/>
      <c r="T26" s="729"/>
      <c r="U26" s="730"/>
      <c r="V26" s="728"/>
      <c r="W26" s="729"/>
    </row>
    <row r="27" spans="1:23">
      <c r="A27" s="98"/>
      <c r="B27" s="99" t="s">
        <v>49</v>
      </c>
      <c r="C27" s="402"/>
      <c r="D27" s="402"/>
      <c r="E27" s="402"/>
      <c r="F27" s="402"/>
      <c r="G27" s="402">
        <f t="shared" si="1"/>
        <v>0</v>
      </c>
      <c r="H27" s="402"/>
      <c r="I27" s="402"/>
      <c r="J27" s="402"/>
      <c r="K27" s="402">
        <f t="shared" si="2"/>
        <v>0</v>
      </c>
      <c r="L27" s="403">
        <f t="shared" si="3"/>
        <v>0</v>
      </c>
      <c r="M27" s="402">
        <f t="shared" si="4"/>
        <v>0</v>
      </c>
      <c r="N27" s="404">
        <f t="shared" si="5"/>
        <v>0</v>
      </c>
      <c r="O27" s="405"/>
      <c r="P27" s="406"/>
      <c r="Q27" s="407"/>
      <c r="R27" s="727"/>
      <c r="S27" s="728"/>
      <c r="T27" s="729"/>
      <c r="U27" s="730"/>
      <c r="V27" s="728"/>
      <c r="W27" s="729"/>
    </row>
    <row r="28" spans="1:23" ht="14.25" customHeight="1">
      <c r="A28" s="100" t="s">
        <v>46</v>
      </c>
      <c r="B28" s="99"/>
      <c r="C28" s="402">
        <f>SUM(C29:C30)</f>
        <v>0</v>
      </c>
      <c r="D28" s="402">
        <f t="shared" ref="D28" si="12">SUM(D29:D30)</f>
        <v>0</v>
      </c>
      <c r="E28" s="402">
        <f t="shared" ref="E28" si="13">SUM(E29:E30)</f>
        <v>0</v>
      </c>
      <c r="F28" s="402">
        <f t="shared" ref="F28" si="14">SUM(F29:F30)</f>
        <v>0</v>
      </c>
      <c r="G28" s="402">
        <f t="shared" si="1"/>
        <v>0</v>
      </c>
      <c r="H28" s="402">
        <f t="shared" ref="H28" si="15">SUM(H29:H30)</f>
        <v>0</v>
      </c>
      <c r="I28" s="402">
        <f t="shared" ref="I28" si="16">SUM(I29:I30)</f>
        <v>0</v>
      </c>
      <c r="J28" s="402">
        <f t="shared" ref="J28" si="17">SUM(J29:J30)</f>
        <v>0</v>
      </c>
      <c r="K28" s="402">
        <f t="shared" si="2"/>
        <v>0</v>
      </c>
      <c r="L28" s="403">
        <f>IF(K28=0,0,K28/H28)</f>
        <v>0</v>
      </c>
      <c r="M28" s="402">
        <f t="shared" si="4"/>
        <v>0</v>
      </c>
      <c r="N28" s="404">
        <f>IF(M28=0,0,M28/H28)</f>
        <v>0</v>
      </c>
      <c r="O28" s="405"/>
      <c r="P28" s="406"/>
      <c r="Q28" s="407"/>
      <c r="R28" s="727"/>
      <c r="S28" s="728"/>
      <c r="T28" s="729"/>
      <c r="U28" s="730"/>
      <c r="V28" s="728"/>
      <c r="W28" s="729"/>
    </row>
    <row r="29" spans="1:23">
      <c r="A29" s="98"/>
      <c r="B29" s="99" t="s">
        <v>46</v>
      </c>
      <c r="C29" s="402"/>
      <c r="D29" s="402"/>
      <c r="E29" s="402"/>
      <c r="F29" s="402"/>
      <c r="G29" s="402">
        <f t="shared" si="1"/>
        <v>0</v>
      </c>
      <c r="H29" s="402"/>
      <c r="I29" s="402"/>
      <c r="J29" s="402"/>
      <c r="K29" s="402">
        <f t="shared" si="2"/>
        <v>0</v>
      </c>
      <c r="L29" s="403">
        <f t="shared" si="3"/>
        <v>0</v>
      </c>
      <c r="M29" s="402">
        <f t="shared" si="4"/>
        <v>0</v>
      </c>
      <c r="N29" s="404">
        <f t="shared" si="5"/>
        <v>0</v>
      </c>
      <c r="O29" s="405"/>
      <c r="P29" s="406"/>
      <c r="Q29" s="407"/>
      <c r="R29" s="727"/>
      <c r="S29" s="728"/>
      <c r="T29" s="729"/>
      <c r="U29" s="730"/>
      <c r="V29" s="728"/>
      <c r="W29" s="729"/>
    </row>
    <row r="30" spans="1:23">
      <c r="A30" s="98"/>
      <c r="B30" s="99" t="s">
        <v>49</v>
      </c>
      <c r="C30" s="402"/>
      <c r="D30" s="402"/>
      <c r="E30" s="402"/>
      <c r="F30" s="402"/>
      <c r="G30" s="402">
        <f t="shared" si="1"/>
        <v>0</v>
      </c>
      <c r="H30" s="402"/>
      <c r="I30" s="402"/>
      <c r="J30" s="402"/>
      <c r="K30" s="402">
        <f t="shared" si="2"/>
        <v>0</v>
      </c>
      <c r="L30" s="403">
        <f t="shared" si="3"/>
        <v>0</v>
      </c>
      <c r="M30" s="402">
        <f t="shared" si="4"/>
        <v>0</v>
      </c>
      <c r="N30" s="404">
        <f t="shared" si="5"/>
        <v>0</v>
      </c>
      <c r="O30" s="405"/>
      <c r="P30" s="406"/>
      <c r="Q30" s="407"/>
      <c r="R30" s="727"/>
      <c r="S30" s="728"/>
      <c r="T30" s="729"/>
      <c r="U30" s="730"/>
      <c r="V30" s="728"/>
      <c r="W30" s="729"/>
    </row>
    <row r="31" spans="1:23" ht="14.25" customHeight="1">
      <c r="A31" s="100" t="s">
        <v>47</v>
      </c>
      <c r="B31" s="99"/>
      <c r="C31" s="402">
        <f>SUM(C32:C33)</f>
        <v>0</v>
      </c>
      <c r="D31" s="402">
        <f t="shared" ref="D31" si="18">SUM(D32:D33)</f>
        <v>0</v>
      </c>
      <c r="E31" s="402">
        <f t="shared" ref="E31" si="19">SUM(E32:E33)</f>
        <v>0</v>
      </c>
      <c r="F31" s="402">
        <f t="shared" ref="F31" si="20">SUM(F32:F33)</f>
        <v>0</v>
      </c>
      <c r="G31" s="402">
        <f t="shared" si="1"/>
        <v>0</v>
      </c>
      <c r="H31" s="402">
        <f t="shared" ref="H31" si="21">SUM(H32:H33)</f>
        <v>0</v>
      </c>
      <c r="I31" s="402">
        <f t="shared" ref="I31" si="22">SUM(I32:I33)</f>
        <v>0</v>
      </c>
      <c r="J31" s="402">
        <f t="shared" ref="J31" si="23">SUM(J32:J33)</f>
        <v>0</v>
      </c>
      <c r="K31" s="402">
        <f t="shared" si="2"/>
        <v>0</v>
      </c>
      <c r="L31" s="403">
        <f>IF(K31=0,0,K31/H31)</f>
        <v>0</v>
      </c>
      <c r="M31" s="402">
        <f t="shared" si="4"/>
        <v>0</v>
      </c>
      <c r="N31" s="404">
        <f>IF(M31=0,0,M31/H31)</f>
        <v>0</v>
      </c>
      <c r="O31" s="405"/>
      <c r="P31" s="406"/>
      <c r="Q31" s="407"/>
      <c r="R31" s="727"/>
      <c r="S31" s="728"/>
      <c r="T31" s="729"/>
      <c r="U31" s="730"/>
      <c r="V31" s="728"/>
      <c r="W31" s="729"/>
    </row>
    <row r="32" spans="1:23">
      <c r="A32" s="98"/>
      <c r="B32" s="99" t="s">
        <v>47</v>
      </c>
      <c r="C32" s="402"/>
      <c r="D32" s="408"/>
      <c r="E32" s="402"/>
      <c r="F32" s="408"/>
      <c r="G32" s="408">
        <f t="shared" si="1"/>
        <v>0</v>
      </c>
      <c r="H32" s="408"/>
      <c r="I32" s="408"/>
      <c r="J32" s="402"/>
      <c r="K32" s="408">
        <f t="shared" si="2"/>
        <v>0</v>
      </c>
      <c r="L32" s="409">
        <f t="shared" si="3"/>
        <v>0</v>
      </c>
      <c r="M32" s="408">
        <f t="shared" si="4"/>
        <v>0</v>
      </c>
      <c r="N32" s="410">
        <f t="shared" si="5"/>
        <v>0</v>
      </c>
      <c r="O32" s="405"/>
      <c r="P32" s="411"/>
      <c r="Q32" s="412"/>
      <c r="R32" s="727"/>
      <c r="S32" s="728"/>
      <c r="T32" s="729"/>
      <c r="U32" s="730"/>
      <c r="V32" s="728"/>
      <c r="W32" s="729"/>
    </row>
    <row r="33" spans="1:23" ht="12.75" customHeight="1">
      <c r="A33" s="98"/>
      <c r="B33" s="99" t="s">
        <v>49</v>
      </c>
      <c r="C33" s="402"/>
      <c r="D33" s="408"/>
      <c r="E33" s="402"/>
      <c r="F33" s="408"/>
      <c r="G33" s="408">
        <f t="shared" si="1"/>
        <v>0</v>
      </c>
      <c r="H33" s="408"/>
      <c r="I33" s="408"/>
      <c r="J33" s="402"/>
      <c r="K33" s="408">
        <f t="shared" si="2"/>
        <v>0</v>
      </c>
      <c r="L33" s="409">
        <f t="shared" si="3"/>
        <v>0</v>
      </c>
      <c r="M33" s="408">
        <f t="shared" si="4"/>
        <v>0</v>
      </c>
      <c r="N33" s="410">
        <f t="shared" si="5"/>
        <v>0</v>
      </c>
      <c r="O33" s="405"/>
      <c r="P33" s="411"/>
      <c r="Q33" s="412"/>
      <c r="R33" s="727"/>
      <c r="S33" s="728"/>
      <c r="T33" s="729"/>
      <c r="U33" s="730"/>
      <c r="V33" s="728"/>
      <c r="W33" s="729"/>
    </row>
    <row r="34" spans="1:23" ht="14.25" customHeight="1">
      <c r="A34" s="98" t="s">
        <v>48</v>
      </c>
      <c r="B34" s="99"/>
      <c r="C34" s="402">
        <f>SUM(C35:C36)</f>
        <v>0</v>
      </c>
      <c r="D34" s="402">
        <f t="shared" ref="D34" si="24">SUM(D35:D36)</f>
        <v>0</v>
      </c>
      <c r="E34" s="402">
        <f t="shared" ref="E34" si="25">SUM(E35:E36)</f>
        <v>0</v>
      </c>
      <c r="F34" s="402">
        <f t="shared" ref="F34" si="26">SUM(F35:F36)</f>
        <v>0</v>
      </c>
      <c r="G34" s="402">
        <f t="shared" si="1"/>
        <v>0</v>
      </c>
      <c r="H34" s="402">
        <f t="shared" ref="H34" si="27">SUM(H35:H36)</f>
        <v>0</v>
      </c>
      <c r="I34" s="402">
        <f t="shared" ref="I34" si="28">SUM(I35:I36)</f>
        <v>0</v>
      </c>
      <c r="J34" s="402">
        <f t="shared" ref="J34" si="29">SUM(J35:J36)</f>
        <v>0</v>
      </c>
      <c r="K34" s="402">
        <f t="shared" si="2"/>
        <v>0</v>
      </c>
      <c r="L34" s="403">
        <f>IF(K34=0,0,K34/H34)</f>
        <v>0</v>
      </c>
      <c r="M34" s="402">
        <f t="shared" si="4"/>
        <v>0</v>
      </c>
      <c r="N34" s="404">
        <f>IF(M34=0,0,M34/H34)</f>
        <v>0</v>
      </c>
      <c r="O34" s="405"/>
      <c r="P34" s="406"/>
      <c r="Q34" s="407"/>
      <c r="R34" s="727"/>
      <c r="S34" s="728"/>
      <c r="T34" s="729"/>
      <c r="U34" s="730"/>
      <c r="V34" s="728"/>
      <c r="W34" s="729"/>
    </row>
    <row r="35" spans="1:23">
      <c r="A35" s="100"/>
      <c r="B35" s="99" t="s">
        <v>48</v>
      </c>
      <c r="C35" s="402"/>
      <c r="D35" s="402"/>
      <c r="E35" s="402"/>
      <c r="F35" s="402"/>
      <c r="G35" s="402">
        <f t="shared" si="1"/>
        <v>0</v>
      </c>
      <c r="H35" s="402"/>
      <c r="I35" s="402"/>
      <c r="J35" s="402"/>
      <c r="K35" s="402">
        <f t="shared" si="2"/>
        <v>0</v>
      </c>
      <c r="L35" s="403">
        <f t="shared" si="3"/>
        <v>0</v>
      </c>
      <c r="M35" s="402">
        <f t="shared" si="4"/>
        <v>0</v>
      </c>
      <c r="N35" s="404">
        <f t="shared" si="5"/>
        <v>0</v>
      </c>
      <c r="O35" s="405"/>
      <c r="P35" s="406"/>
      <c r="Q35" s="407"/>
      <c r="R35" s="727"/>
      <c r="S35" s="728"/>
      <c r="T35" s="729"/>
      <c r="U35" s="730"/>
      <c r="V35" s="728"/>
      <c r="W35" s="729"/>
    </row>
    <row r="36" spans="1:23">
      <c r="A36" s="98"/>
      <c r="B36" s="99" t="s">
        <v>49</v>
      </c>
      <c r="C36" s="402"/>
      <c r="D36" s="402"/>
      <c r="E36" s="402"/>
      <c r="F36" s="402"/>
      <c r="G36" s="402">
        <f t="shared" si="1"/>
        <v>0</v>
      </c>
      <c r="H36" s="402"/>
      <c r="I36" s="402"/>
      <c r="J36" s="402"/>
      <c r="K36" s="402">
        <f t="shared" si="2"/>
        <v>0</v>
      </c>
      <c r="L36" s="403">
        <f t="shared" si="3"/>
        <v>0</v>
      </c>
      <c r="M36" s="402">
        <f t="shared" si="4"/>
        <v>0</v>
      </c>
      <c r="N36" s="404">
        <f t="shared" si="5"/>
        <v>0</v>
      </c>
      <c r="O36" s="405"/>
      <c r="P36" s="406"/>
      <c r="Q36" s="407"/>
      <c r="R36" s="727"/>
      <c r="S36" s="728"/>
      <c r="T36" s="729"/>
      <c r="U36" s="730"/>
      <c r="V36" s="728"/>
      <c r="W36" s="729"/>
    </row>
    <row r="37" spans="1:23" ht="14.25" customHeight="1">
      <c r="A37" s="98" t="s">
        <v>219</v>
      </c>
      <c r="B37" s="99"/>
      <c r="C37" s="402">
        <f>SUM(C38:C39)</f>
        <v>0</v>
      </c>
      <c r="D37" s="402">
        <f t="shared" ref="D37" si="30">SUM(D38:D39)</f>
        <v>0</v>
      </c>
      <c r="E37" s="402">
        <f t="shared" ref="E37" si="31">SUM(E38:E39)</f>
        <v>0</v>
      </c>
      <c r="F37" s="402">
        <f t="shared" ref="F37" si="32">SUM(F38:F39)</f>
        <v>0</v>
      </c>
      <c r="G37" s="402">
        <f t="shared" si="1"/>
        <v>0</v>
      </c>
      <c r="H37" s="402">
        <f t="shared" ref="H37" si="33">SUM(H38:H39)</f>
        <v>0</v>
      </c>
      <c r="I37" s="402">
        <f t="shared" ref="I37" si="34">SUM(I38:I39)</f>
        <v>0</v>
      </c>
      <c r="J37" s="402">
        <f t="shared" ref="J37" si="35">SUM(J38:J39)</f>
        <v>0</v>
      </c>
      <c r="K37" s="402">
        <f t="shared" si="2"/>
        <v>0</v>
      </c>
      <c r="L37" s="403">
        <f>IF(K37=0,0,K37/H37)</f>
        <v>0</v>
      </c>
      <c r="M37" s="402">
        <f t="shared" si="4"/>
        <v>0</v>
      </c>
      <c r="N37" s="404">
        <f>IF(M37=0,0,M37/H37)</f>
        <v>0</v>
      </c>
      <c r="O37" s="405"/>
      <c r="P37" s="406"/>
      <c r="Q37" s="407"/>
      <c r="R37" s="727"/>
      <c r="S37" s="728"/>
      <c r="T37" s="729"/>
      <c r="U37" s="730"/>
      <c r="V37" s="728"/>
      <c r="W37" s="729"/>
    </row>
    <row r="38" spans="1:23" ht="14.25" customHeight="1">
      <c r="A38" s="100"/>
      <c r="B38" s="99" t="s">
        <v>219</v>
      </c>
      <c r="C38" s="402"/>
      <c r="D38" s="408"/>
      <c r="E38" s="402"/>
      <c r="F38" s="408"/>
      <c r="G38" s="408">
        <f t="shared" si="1"/>
        <v>0</v>
      </c>
      <c r="H38" s="408"/>
      <c r="I38" s="408"/>
      <c r="J38" s="402"/>
      <c r="K38" s="408">
        <f t="shared" si="2"/>
        <v>0</v>
      </c>
      <c r="L38" s="409">
        <f t="shared" si="3"/>
        <v>0</v>
      </c>
      <c r="M38" s="402">
        <f t="shared" si="4"/>
        <v>0</v>
      </c>
      <c r="N38" s="404">
        <f t="shared" si="5"/>
        <v>0</v>
      </c>
      <c r="O38" s="405"/>
      <c r="P38" s="406"/>
      <c r="Q38" s="407"/>
      <c r="R38" s="727"/>
      <c r="S38" s="728"/>
      <c r="T38" s="729"/>
      <c r="U38" s="730"/>
      <c r="V38" s="728"/>
      <c r="W38" s="729"/>
    </row>
    <row r="39" spans="1:23">
      <c r="A39" s="98"/>
      <c r="B39" s="99" t="s">
        <v>49</v>
      </c>
      <c r="C39" s="402"/>
      <c r="D39" s="408"/>
      <c r="E39" s="402"/>
      <c r="F39" s="408"/>
      <c r="G39" s="408">
        <f t="shared" si="1"/>
        <v>0</v>
      </c>
      <c r="H39" s="408"/>
      <c r="I39" s="408"/>
      <c r="J39" s="402"/>
      <c r="K39" s="408">
        <f t="shared" si="2"/>
        <v>0</v>
      </c>
      <c r="L39" s="409">
        <f t="shared" si="3"/>
        <v>0</v>
      </c>
      <c r="M39" s="402">
        <f t="shared" si="4"/>
        <v>0</v>
      </c>
      <c r="N39" s="404">
        <f t="shared" si="5"/>
        <v>0</v>
      </c>
      <c r="O39" s="405"/>
      <c r="P39" s="406"/>
      <c r="Q39" s="407"/>
      <c r="R39" s="727"/>
      <c r="S39" s="728"/>
      <c r="T39" s="729"/>
      <c r="U39" s="730"/>
      <c r="V39" s="728"/>
      <c r="W39" s="729"/>
    </row>
    <row r="40" spans="1:23" ht="9.75" customHeight="1">
      <c r="A40" s="98"/>
      <c r="B40" s="99"/>
      <c r="C40" s="402"/>
      <c r="D40" s="402"/>
      <c r="E40" s="402"/>
      <c r="F40" s="402"/>
      <c r="G40" s="402">
        <f t="shared" si="1"/>
        <v>0</v>
      </c>
      <c r="H40" s="402"/>
      <c r="I40" s="402"/>
      <c r="J40" s="402"/>
      <c r="K40" s="402">
        <f t="shared" si="2"/>
        <v>0</v>
      </c>
      <c r="L40" s="403">
        <f t="shared" si="3"/>
        <v>0</v>
      </c>
      <c r="M40" s="402">
        <f t="shared" si="4"/>
        <v>0</v>
      </c>
      <c r="N40" s="404">
        <f t="shared" si="5"/>
        <v>0</v>
      </c>
      <c r="O40" s="405"/>
      <c r="P40" s="406"/>
      <c r="Q40" s="407"/>
      <c r="R40" s="727"/>
      <c r="S40" s="728"/>
      <c r="T40" s="729"/>
      <c r="U40" s="730"/>
      <c r="V40" s="728"/>
      <c r="W40" s="729"/>
    </row>
    <row r="41" spans="1:23" ht="14.25" customHeight="1">
      <c r="A41" s="104" t="s">
        <v>170</v>
      </c>
      <c r="B41" s="101"/>
      <c r="C41" s="413">
        <f>SUM(C21:C40)/2</f>
        <v>0</v>
      </c>
      <c r="D41" s="413">
        <f t="shared" ref="D41:J41" si="36">SUM(D21:D40)/2</f>
        <v>0</v>
      </c>
      <c r="E41" s="413">
        <f t="shared" si="36"/>
        <v>0</v>
      </c>
      <c r="F41" s="413">
        <f t="shared" si="36"/>
        <v>0</v>
      </c>
      <c r="G41" s="413">
        <f t="shared" si="1"/>
        <v>0</v>
      </c>
      <c r="H41" s="413">
        <f t="shared" si="36"/>
        <v>0</v>
      </c>
      <c r="I41" s="413">
        <f t="shared" si="36"/>
        <v>0</v>
      </c>
      <c r="J41" s="413">
        <f t="shared" si="36"/>
        <v>0</v>
      </c>
      <c r="K41" s="414">
        <f t="shared" si="2"/>
        <v>0</v>
      </c>
      <c r="L41" s="415">
        <f t="shared" si="3"/>
        <v>0</v>
      </c>
      <c r="M41" s="413">
        <f t="shared" si="4"/>
        <v>0</v>
      </c>
      <c r="N41" s="416">
        <f t="shared" si="5"/>
        <v>0</v>
      </c>
      <c r="O41" s="417"/>
      <c r="P41" s="418"/>
      <c r="Q41" s="419"/>
      <c r="R41" s="731"/>
      <c r="S41" s="732"/>
      <c r="T41" s="733"/>
      <c r="U41" s="734"/>
      <c r="V41" s="732"/>
      <c r="W41" s="733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Q17" sqref="Q17"/>
      <selection pane="bottomLeft" activeCell="Q17" sqref="Q17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7"/>
      <c r="U1" s="767"/>
      <c r="V1" s="767"/>
      <c r="W1" s="767"/>
    </row>
    <row r="2" spans="1:24" ht="24.75" customHeight="1">
      <c r="A2" s="653" t="str">
        <f>封面!$A$4</f>
        <v>彰化縣地方教育發展基金－彰化縣秀水鄉馬興國民小學</v>
      </c>
      <c r="B2" s="619"/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</row>
    <row r="3" spans="1:24" ht="20.25" customHeight="1">
      <c r="A3" s="705" t="s">
        <v>66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  <c r="W3" s="705"/>
    </row>
    <row r="4" spans="1:24" ht="20.25" customHeight="1">
      <c r="A4" s="651" t="str">
        <f>封面!$E$10&amp;封面!$H$10&amp;封面!$I$10&amp;封面!$J$10&amp;封面!$K$10&amp;封面!L10</f>
        <v>中華民國112年7月份</v>
      </c>
      <c r="B4" s="651"/>
      <c r="C4" s="651"/>
      <c r="D4" s="651"/>
      <c r="E4" s="651"/>
      <c r="F4" s="651"/>
      <c r="G4" s="651"/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651"/>
      <c r="S4" s="651"/>
      <c r="T4" s="651"/>
      <c r="U4" s="651"/>
      <c r="V4" s="651"/>
      <c r="W4" s="651"/>
    </row>
    <row r="5" spans="1:24" ht="16.5">
      <c r="S5" s="769" t="s">
        <v>1</v>
      </c>
      <c r="T5" s="619"/>
      <c r="U5" s="619"/>
      <c r="V5" s="619"/>
      <c r="W5" s="619"/>
    </row>
    <row r="6" spans="1:24" ht="14.25" hidden="1"/>
    <row r="7" spans="1:24" ht="8.1" customHeight="1">
      <c r="A7" s="710" t="s">
        <v>6</v>
      </c>
      <c r="B7" s="768"/>
      <c r="C7" s="768"/>
      <c r="D7" s="768"/>
      <c r="E7" s="768"/>
      <c r="F7" s="768"/>
      <c r="G7" s="768"/>
      <c r="H7" s="768"/>
      <c r="I7" s="768"/>
      <c r="J7" s="768"/>
      <c r="K7" s="768"/>
      <c r="L7" s="768"/>
      <c r="M7" s="768"/>
      <c r="N7" s="710" t="s">
        <v>68</v>
      </c>
      <c r="O7" s="766"/>
      <c r="P7" s="710" t="s">
        <v>69</v>
      </c>
      <c r="Q7" s="766"/>
      <c r="R7" s="710" t="s">
        <v>67</v>
      </c>
      <c r="S7" s="766"/>
      <c r="T7" s="766"/>
      <c r="U7" s="766"/>
      <c r="V7" s="766"/>
      <c r="W7" s="766"/>
      <c r="X7" s="6"/>
    </row>
    <row r="8" spans="1:24" ht="8.1" customHeight="1">
      <c r="A8" s="768"/>
      <c r="B8" s="768"/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6"/>
      <c r="O8" s="766"/>
      <c r="P8" s="766"/>
      <c r="Q8" s="766"/>
      <c r="R8" s="766"/>
      <c r="S8" s="766"/>
      <c r="T8" s="766"/>
      <c r="U8" s="766"/>
      <c r="V8" s="766"/>
      <c r="W8" s="766"/>
      <c r="X8" s="6"/>
    </row>
    <row r="9" spans="1:24" ht="8.1" customHeight="1">
      <c r="A9" s="768"/>
      <c r="B9" s="768"/>
      <c r="C9" s="768"/>
      <c r="D9" s="768"/>
      <c r="E9" s="768"/>
      <c r="F9" s="768"/>
      <c r="G9" s="768"/>
      <c r="H9" s="768"/>
      <c r="I9" s="768"/>
      <c r="J9" s="768"/>
      <c r="K9" s="768"/>
      <c r="L9" s="768"/>
      <c r="M9" s="768"/>
      <c r="N9" s="766"/>
      <c r="O9" s="766"/>
      <c r="P9" s="766"/>
      <c r="Q9" s="766"/>
      <c r="R9" s="710" t="s">
        <v>4</v>
      </c>
      <c r="S9" s="766"/>
      <c r="T9" s="766"/>
      <c r="U9" s="766"/>
      <c r="V9" s="80"/>
      <c r="W9" s="770" t="s">
        <v>151</v>
      </c>
      <c r="X9" s="6"/>
    </row>
    <row r="10" spans="1:24" ht="8.1" customHeight="1">
      <c r="A10" s="768"/>
      <c r="B10" s="768"/>
      <c r="C10" s="768"/>
      <c r="D10" s="768"/>
      <c r="E10" s="768"/>
      <c r="F10" s="768"/>
      <c r="G10" s="768"/>
      <c r="H10" s="768"/>
      <c r="I10" s="768"/>
      <c r="J10" s="768"/>
      <c r="K10" s="768"/>
      <c r="L10" s="768"/>
      <c r="M10" s="768"/>
      <c r="N10" s="766"/>
      <c r="O10" s="766"/>
      <c r="P10" s="766"/>
      <c r="Q10" s="766"/>
      <c r="R10" s="766"/>
      <c r="S10" s="766"/>
      <c r="T10" s="766"/>
      <c r="U10" s="766"/>
      <c r="V10" s="81"/>
      <c r="W10" s="714"/>
      <c r="X10" s="6"/>
    </row>
    <row r="11" spans="1:24" hidden="1">
      <c r="A11" s="768"/>
      <c r="B11" s="768"/>
      <c r="C11" s="768"/>
      <c r="D11" s="768"/>
      <c r="E11" s="768"/>
      <c r="F11" s="768"/>
      <c r="G11" s="768"/>
      <c r="H11" s="768"/>
      <c r="I11" s="768"/>
      <c r="J11" s="768"/>
      <c r="K11" s="768"/>
      <c r="L11" s="768"/>
      <c r="M11" s="768"/>
      <c r="N11" s="766"/>
      <c r="O11" s="766"/>
      <c r="P11" s="766"/>
      <c r="Q11" s="766"/>
      <c r="R11" s="766"/>
      <c r="S11" s="766"/>
      <c r="T11" s="766"/>
      <c r="U11" s="766"/>
      <c r="V11" s="81"/>
      <c r="W11" s="81"/>
      <c r="X11" s="6"/>
    </row>
    <row r="12" spans="1:24" ht="15.75" customHeight="1">
      <c r="A12" s="251"/>
      <c r="B12" s="87" t="s">
        <v>465</v>
      </c>
      <c r="C12" s="87"/>
      <c r="D12" s="87"/>
      <c r="E12" s="87"/>
      <c r="F12" s="87" t="s">
        <v>533</v>
      </c>
      <c r="G12" s="87"/>
      <c r="H12" s="87"/>
      <c r="I12" s="87"/>
      <c r="J12" s="87"/>
      <c r="K12" s="87"/>
      <c r="L12" s="87"/>
      <c r="M12" s="252"/>
      <c r="N12" s="257"/>
      <c r="O12" s="258">
        <v>34111000</v>
      </c>
      <c r="P12" s="259"/>
      <c r="Q12" s="258">
        <v>20700348</v>
      </c>
      <c r="R12" s="259"/>
      <c r="S12" s="258">
        <v>-13410652</v>
      </c>
      <c r="T12" s="258"/>
      <c r="U12" s="258"/>
      <c r="V12" s="259"/>
      <c r="W12" s="258" t="s">
        <v>534</v>
      </c>
      <c r="X12" s="6"/>
    </row>
    <row r="13" spans="1:24" ht="15.75" customHeight="1">
      <c r="A13" s="253"/>
      <c r="B13" s="88"/>
      <c r="C13" s="365" t="s">
        <v>467</v>
      </c>
      <c r="D13" s="365"/>
      <c r="E13" s="365"/>
      <c r="F13" s="88"/>
      <c r="G13" s="88" t="s">
        <v>535</v>
      </c>
      <c r="H13" s="88"/>
      <c r="I13" s="88"/>
      <c r="J13" s="88"/>
      <c r="K13" s="88"/>
      <c r="L13" s="88"/>
      <c r="M13" s="254"/>
      <c r="N13" s="260"/>
      <c r="O13" s="261"/>
      <c r="P13" s="261"/>
      <c r="Q13" s="262">
        <v>14489221</v>
      </c>
      <c r="R13" s="261"/>
      <c r="S13" s="262">
        <v>14489221</v>
      </c>
      <c r="T13" s="262"/>
      <c r="U13" s="262"/>
      <c r="V13" s="261"/>
      <c r="W13" s="261"/>
      <c r="X13" s="6"/>
    </row>
    <row r="14" spans="1:24" ht="15.75" customHeight="1">
      <c r="A14" s="253"/>
      <c r="B14" s="88"/>
      <c r="C14" s="365"/>
      <c r="D14" s="365" t="s">
        <v>536</v>
      </c>
      <c r="E14" s="365"/>
      <c r="F14" s="88"/>
      <c r="G14" s="88"/>
      <c r="H14" s="88"/>
      <c r="I14" s="88" t="s">
        <v>537</v>
      </c>
      <c r="J14" s="88"/>
      <c r="K14" s="88"/>
      <c r="L14" s="88"/>
      <c r="M14" s="254"/>
      <c r="N14" s="260"/>
      <c r="O14" s="261"/>
      <c r="P14" s="261"/>
      <c r="Q14" s="262">
        <v>14223701</v>
      </c>
      <c r="R14" s="261"/>
      <c r="S14" s="262">
        <v>14223701</v>
      </c>
      <c r="T14" s="262"/>
      <c r="U14" s="262"/>
      <c r="V14" s="261"/>
      <c r="W14" s="261"/>
      <c r="X14" s="6"/>
    </row>
    <row r="15" spans="1:24" ht="15.75" customHeight="1">
      <c r="A15" s="253"/>
      <c r="B15" s="88"/>
      <c r="C15" s="365"/>
      <c r="D15" s="365" t="s">
        <v>538</v>
      </c>
      <c r="E15" s="365"/>
      <c r="F15" s="88"/>
      <c r="G15" s="88"/>
      <c r="H15" s="88"/>
      <c r="I15" s="88" t="s">
        <v>539</v>
      </c>
      <c r="J15" s="88"/>
      <c r="K15" s="88"/>
      <c r="L15" s="88"/>
      <c r="M15" s="254"/>
      <c r="N15" s="260"/>
      <c r="O15" s="261"/>
      <c r="P15" s="261"/>
      <c r="Q15" s="262">
        <v>265520</v>
      </c>
      <c r="R15" s="261"/>
      <c r="S15" s="262">
        <v>265520</v>
      </c>
      <c r="T15" s="262"/>
      <c r="U15" s="262"/>
      <c r="V15" s="261"/>
      <c r="W15" s="261"/>
      <c r="X15" s="6"/>
    </row>
    <row r="16" spans="1:24" ht="15.75" customHeight="1">
      <c r="A16" s="253"/>
      <c r="B16" s="88"/>
      <c r="C16" s="365" t="s">
        <v>540</v>
      </c>
      <c r="D16" s="365"/>
      <c r="E16" s="365"/>
      <c r="F16" s="88"/>
      <c r="G16" s="88" t="s">
        <v>541</v>
      </c>
      <c r="H16" s="88"/>
      <c r="I16" s="88"/>
      <c r="J16" s="88"/>
      <c r="K16" s="88"/>
      <c r="L16" s="88"/>
      <c r="M16" s="254"/>
      <c r="N16" s="260"/>
      <c r="O16" s="261"/>
      <c r="P16" s="261"/>
      <c r="Q16" s="262">
        <v>175056</v>
      </c>
      <c r="R16" s="261"/>
      <c r="S16" s="262">
        <v>175056</v>
      </c>
      <c r="T16" s="262"/>
      <c r="U16" s="262"/>
      <c r="V16" s="261"/>
      <c r="W16" s="261"/>
      <c r="X16" s="6"/>
    </row>
    <row r="17" spans="1:24" ht="15.75" customHeight="1">
      <c r="A17" s="253"/>
      <c r="B17" s="88"/>
      <c r="C17" s="365"/>
      <c r="D17" s="365" t="s">
        <v>542</v>
      </c>
      <c r="E17" s="365"/>
      <c r="F17" s="88"/>
      <c r="G17" s="88"/>
      <c r="H17" s="88"/>
      <c r="I17" s="88" t="s">
        <v>543</v>
      </c>
      <c r="J17" s="88"/>
      <c r="K17" s="88"/>
      <c r="L17" s="88"/>
      <c r="M17" s="254"/>
      <c r="N17" s="260"/>
      <c r="O17" s="261"/>
      <c r="P17" s="261"/>
      <c r="Q17" s="262">
        <v>175056</v>
      </c>
      <c r="R17" s="261"/>
      <c r="S17" s="262">
        <v>175056</v>
      </c>
      <c r="T17" s="262"/>
      <c r="U17" s="262"/>
      <c r="V17" s="261"/>
      <c r="W17" s="261"/>
      <c r="X17" s="6"/>
    </row>
    <row r="18" spans="1:24" ht="15.75" customHeight="1">
      <c r="A18" s="253"/>
      <c r="B18" s="88"/>
      <c r="C18" s="365" t="s">
        <v>544</v>
      </c>
      <c r="D18" s="365"/>
      <c r="E18" s="365"/>
      <c r="F18" s="88"/>
      <c r="G18" s="88" t="s">
        <v>545</v>
      </c>
      <c r="H18" s="88"/>
      <c r="I18" s="88"/>
      <c r="J18" s="88"/>
      <c r="K18" s="88"/>
      <c r="L18" s="88"/>
      <c r="M18" s="254"/>
      <c r="N18" s="260"/>
      <c r="O18" s="261"/>
      <c r="P18" s="261"/>
      <c r="Q18" s="262">
        <v>3184872</v>
      </c>
      <c r="R18" s="261"/>
      <c r="S18" s="262">
        <v>3184872</v>
      </c>
      <c r="T18" s="262"/>
      <c r="U18" s="262"/>
      <c r="V18" s="261"/>
      <c r="W18" s="261"/>
      <c r="X18" s="6"/>
    </row>
    <row r="19" spans="1:24" ht="15.75" customHeight="1">
      <c r="A19" s="253"/>
      <c r="B19" s="88"/>
      <c r="C19" s="365"/>
      <c r="D19" s="365" t="s">
        <v>546</v>
      </c>
      <c r="E19" s="365"/>
      <c r="F19" s="88"/>
      <c r="G19" s="88"/>
      <c r="H19" s="88"/>
      <c r="I19" s="88" t="s">
        <v>547</v>
      </c>
      <c r="J19" s="88"/>
      <c r="K19" s="88"/>
      <c r="L19" s="88"/>
      <c r="M19" s="254"/>
      <c r="N19" s="260"/>
      <c r="O19" s="261"/>
      <c r="P19" s="261"/>
      <c r="Q19" s="262">
        <v>491660</v>
      </c>
      <c r="R19" s="261"/>
      <c r="S19" s="262">
        <v>491660</v>
      </c>
      <c r="T19" s="262"/>
      <c r="U19" s="262"/>
      <c r="V19" s="261"/>
      <c r="W19" s="261"/>
      <c r="X19" s="6"/>
    </row>
    <row r="20" spans="1:24" ht="15.75" customHeight="1">
      <c r="A20" s="253"/>
      <c r="B20" s="88"/>
      <c r="C20" s="365"/>
      <c r="D20" s="365" t="s">
        <v>548</v>
      </c>
      <c r="E20" s="365"/>
      <c r="F20" s="88"/>
      <c r="G20" s="88"/>
      <c r="H20" s="88"/>
      <c r="I20" s="88" t="s">
        <v>549</v>
      </c>
      <c r="J20" s="88"/>
      <c r="K20" s="88"/>
      <c r="L20" s="88"/>
      <c r="M20" s="254"/>
      <c r="N20" s="260"/>
      <c r="O20" s="261"/>
      <c r="P20" s="261"/>
      <c r="Q20" s="262">
        <v>2693212</v>
      </c>
      <c r="R20" s="261"/>
      <c r="S20" s="262">
        <v>2693212</v>
      </c>
      <c r="T20" s="262"/>
      <c r="U20" s="262"/>
      <c r="V20" s="261"/>
      <c r="W20" s="261"/>
      <c r="X20" s="6"/>
    </row>
    <row r="21" spans="1:24" ht="15.75" customHeight="1">
      <c r="A21" s="253"/>
      <c r="B21" s="88"/>
      <c r="C21" s="365" t="s">
        <v>550</v>
      </c>
      <c r="D21" s="365"/>
      <c r="E21" s="365"/>
      <c r="F21" s="88"/>
      <c r="G21" s="88" t="s">
        <v>551</v>
      </c>
      <c r="H21" s="88"/>
      <c r="I21" s="88"/>
      <c r="J21" s="88"/>
      <c r="K21" s="88"/>
      <c r="L21" s="88"/>
      <c r="M21" s="254"/>
      <c r="N21" s="260"/>
      <c r="O21" s="261"/>
      <c r="P21" s="261"/>
      <c r="Q21" s="262">
        <v>1556531</v>
      </c>
      <c r="R21" s="261"/>
      <c r="S21" s="262">
        <v>1556531</v>
      </c>
      <c r="T21" s="262"/>
      <c r="U21" s="262"/>
      <c r="V21" s="261"/>
      <c r="W21" s="261"/>
      <c r="X21" s="6"/>
    </row>
    <row r="22" spans="1:24" ht="15.75" customHeight="1">
      <c r="A22" s="253"/>
      <c r="B22" s="88"/>
      <c r="C22" s="365"/>
      <c r="D22" s="365" t="s">
        <v>552</v>
      </c>
      <c r="E22" s="365"/>
      <c r="F22" s="88"/>
      <c r="G22" s="88"/>
      <c r="H22" s="88"/>
      <c r="I22" s="88" t="s">
        <v>553</v>
      </c>
      <c r="J22" s="88"/>
      <c r="K22" s="88"/>
      <c r="L22" s="88"/>
      <c r="M22" s="254"/>
      <c r="N22" s="260"/>
      <c r="O22" s="261"/>
      <c r="P22" s="261"/>
      <c r="Q22" s="262">
        <v>1556531</v>
      </c>
      <c r="R22" s="261"/>
      <c r="S22" s="262">
        <v>1556531</v>
      </c>
      <c r="T22" s="262"/>
      <c r="U22" s="262"/>
      <c r="V22" s="261"/>
      <c r="W22" s="261"/>
      <c r="X22" s="6"/>
    </row>
    <row r="23" spans="1:24" ht="15.75" customHeight="1">
      <c r="A23" s="253"/>
      <c r="B23" s="88"/>
      <c r="C23" s="88" t="s">
        <v>554</v>
      </c>
      <c r="D23" s="88"/>
      <c r="E23" s="88"/>
      <c r="F23" s="88"/>
      <c r="G23" s="88" t="s">
        <v>555</v>
      </c>
      <c r="H23" s="88"/>
      <c r="I23" s="88"/>
      <c r="J23" s="88"/>
      <c r="K23" s="88"/>
      <c r="L23" s="88"/>
      <c r="M23" s="254"/>
      <c r="N23" s="260"/>
      <c r="O23" s="261"/>
      <c r="P23" s="261"/>
      <c r="Q23" s="262">
        <v>1294668</v>
      </c>
      <c r="R23" s="261"/>
      <c r="S23" s="262">
        <v>1294668</v>
      </c>
      <c r="T23" s="262"/>
      <c r="U23" s="262"/>
      <c r="V23" s="261"/>
      <c r="W23" s="261"/>
      <c r="X23" s="6"/>
    </row>
    <row r="24" spans="1:24" ht="15.75" customHeight="1">
      <c r="A24" s="253"/>
      <c r="B24" s="88"/>
      <c r="C24" s="88"/>
      <c r="D24" s="88" t="s">
        <v>556</v>
      </c>
      <c r="E24" s="88"/>
      <c r="F24" s="88"/>
      <c r="G24" s="88"/>
      <c r="H24" s="88"/>
      <c r="I24" s="88" t="s">
        <v>557</v>
      </c>
      <c r="J24" s="88"/>
      <c r="K24" s="88"/>
      <c r="L24" s="88"/>
      <c r="M24" s="254"/>
      <c r="N24" s="260"/>
      <c r="O24" s="261"/>
      <c r="P24" s="261"/>
      <c r="Q24" s="262">
        <v>1198668</v>
      </c>
      <c r="R24" s="261"/>
      <c r="S24" s="262">
        <v>1198668</v>
      </c>
      <c r="T24" s="262"/>
      <c r="U24" s="262"/>
      <c r="V24" s="261"/>
      <c r="W24" s="261"/>
      <c r="X24" s="6"/>
    </row>
    <row r="25" spans="1:24" ht="15.75" customHeight="1">
      <c r="A25" s="253"/>
      <c r="B25" s="88"/>
      <c r="C25" s="88"/>
      <c r="D25" s="88" t="s">
        <v>558</v>
      </c>
      <c r="E25" s="88"/>
      <c r="F25" s="88"/>
      <c r="G25" s="88"/>
      <c r="H25" s="88"/>
      <c r="I25" s="88" t="s">
        <v>559</v>
      </c>
      <c r="J25" s="88"/>
      <c r="K25" s="88"/>
      <c r="L25" s="88"/>
      <c r="M25" s="254"/>
      <c r="N25" s="260"/>
      <c r="O25" s="261"/>
      <c r="P25" s="261"/>
      <c r="Q25" s="262">
        <v>96000</v>
      </c>
      <c r="R25" s="261"/>
      <c r="S25" s="262">
        <v>96000</v>
      </c>
      <c r="T25" s="262"/>
      <c r="U25" s="262"/>
      <c r="V25" s="261"/>
      <c r="W25" s="261"/>
      <c r="X25" s="6"/>
    </row>
    <row r="26" spans="1:24" ht="15.75" customHeight="1">
      <c r="A26" s="253"/>
      <c r="B26" s="88" t="s">
        <v>520</v>
      </c>
      <c r="C26" s="88"/>
      <c r="D26" s="88"/>
      <c r="E26" s="88"/>
      <c r="F26" s="88" t="s">
        <v>560</v>
      </c>
      <c r="G26" s="88"/>
      <c r="H26" s="88"/>
      <c r="I26" s="88"/>
      <c r="J26" s="88"/>
      <c r="K26" s="88"/>
      <c r="L26" s="88"/>
      <c r="M26" s="254"/>
      <c r="N26" s="260"/>
      <c r="O26" s="261">
        <v>1265000</v>
      </c>
      <c r="P26" s="261"/>
      <c r="Q26" s="262">
        <v>507133</v>
      </c>
      <c r="R26" s="261"/>
      <c r="S26" s="262">
        <v>-757867</v>
      </c>
      <c r="T26" s="262"/>
      <c r="U26" s="262"/>
      <c r="V26" s="261"/>
      <c r="W26" s="261" t="s">
        <v>561</v>
      </c>
      <c r="X26" s="6"/>
    </row>
    <row r="27" spans="1:24" ht="15.75" customHeight="1">
      <c r="A27" s="253"/>
      <c r="B27" s="88"/>
      <c r="C27" s="88" t="s">
        <v>521</v>
      </c>
      <c r="D27" s="88"/>
      <c r="E27" s="88"/>
      <c r="F27" s="88"/>
      <c r="G27" s="88" t="s">
        <v>562</v>
      </c>
      <c r="H27" s="88"/>
      <c r="I27" s="88"/>
      <c r="J27" s="88"/>
      <c r="K27" s="88"/>
      <c r="L27" s="88"/>
      <c r="M27" s="254"/>
      <c r="N27" s="260"/>
      <c r="O27" s="261"/>
      <c r="P27" s="261"/>
      <c r="Q27" s="262">
        <v>97691</v>
      </c>
      <c r="R27" s="261"/>
      <c r="S27" s="262">
        <v>97691</v>
      </c>
      <c r="T27" s="262"/>
      <c r="U27" s="262"/>
      <c r="V27" s="261"/>
      <c r="W27" s="261"/>
      <c r="X27" s="6"/>
    </row>
    <row r="28" spans="1:24" ht="15.75" customHeight="1">
      <c r="A28" s="253"/>
      <c r="B28" s="88"/>
      <c r="C28" s="88"/>
      <c r="D28" s="88" t="s">
        <v>563</v>
      </c>
      <c r="E28" s="88"/>
      <c r="F28" s="88"/>
      <c r="G28" s="88"/>
      <c r="H28" s="88"/>
      <c r="I28" s="88" t="s">
        <v>564</v>
      </c>
      <c r="J28" s="88"/>
      <c r="K28" s="88"/>
      <c r="L28" s="88"/>
      <c r="M28" s="254"/>
      <c r="N28" s="260"/>
      <c r="O28" s="262"/>
      <c r="P28" s="261"/>
      <c r="Q28" s="262">
        <v>70573</v>
      </c>
      <c r="R28" s="261"/>
      <c r="S28" s="262">
        <v>70573</v>
      </c>
      <c r="T28" s="262"/>
      <c r="U28" s="262"/>
      <c r="V28" s="261"/>
      <c r="W28" s="262"/>
      <c r="X28" s="6"/>
    </row>
    <row r="29" spans="1:24" ht="15.75" customHeight="1">
      <c r="A29" s="253"/>
      <c r="B29" s="88"/>
      <c r="C29" s="88"/>
      <c r="D29" s="88" t="s">
        <v>565</v>
      </c>
      <c r="E29" s="88"/>
      <c r="F29" s="88"/>
      <c r="G29" s="88"/>
      <c r="H29" s="88"/>
      <c r="I29" s="88" t="s">
        <v>566</v>
      </c>
      <c r="J29" s="88"/>
      <c r="K29" s="88"/>
      <c r="L29" s="88"/>
      <c r="M29" s="254"/>
      <c r="N29" s="260"/>
      <c r="O29" s="261"/>
      <c r="P29" s="261"/>
      <c r="Q29" s="262">
        <v>27118</v>
      </c>
      <c r="R29" s="261"/>
      <c r="S29" s="262">
        <v>27118</v>
      </c>
      <c r="T29" s="262"/>
      <c r="U29" s="262"/>
      <c r="V29" s="261"/>
      <c r="W29" s="261"/>
      <c r="X29" s="6"/>
    </row>
    <row r="30" spans="1:24" ht="15.75" customHeight="1">
      <c r="A30" s="253"/>
      <c r="B30" s="88"/>
      <c r="C30" s="88" t="s">
        <v>567</v>
      </c>
      <c r="D30" s="88"/>
      <c r="E30" s="88"/>
      <c r="F30" s="88"/>
      <c r="G30" s="88" t="s">
        <v>568</v>
      </c>
      <c r="H30" s="88"/>
      <c r="I30" s="88"/>
      <c r="J30" s="88"/>
      <c r="K30" s="88"/>
      <c r="L30" s="88"/>
      <c r="M30" s="254"/>
      <c r="N30" s="260"/>
      <c r="O30" s="261"/>
      <c r="P30" s="261"/>
      <c r="Q30" s="262">
        <v>13999</v>
      </c>
      <c r="R30" s="261"/>
      <c r="S30" s="262">
        <v>13999</v>
      </c>
      <c r="T30" s="262"/>
      <c r="U30" s="262"/>
      <c r="V30" s="261"/>
      <c r="W30" s="261"/>
      <c r="X30" s="6"/>
    </row>
    <row r="31" spans="1:24" ht="15.75" customHeight="1">
      <c r="A31" s="253"/>
      <c r="B31" s="88"/>
      <c r="C31" s="88"/>
      <c r="D31" s="88" t="s">
        <v>569</v>
      </c>
      <c r="E31" s="88"/>
      <c r="F31" s="88"/>
      <c r="G31" s="88"/>
      <c r="H31" s="88"/>
      <c r="I31" s="88" t="s">
        <v>570</v>
      </c>
      <c r="J31" s="88"/>
      <c r="K31" s="88"/>
      <c r="L31" s="88"/>
      <c r="M31" s="254"/>
      <c r="N31" s="260"/>
      <c r="O31" s="261"/>
      <c r="P31" s="261"/>
      <c r="Q31" s="262">
        <v>3120</v>
      </c>
      <c r="R31" s="261"/>
      <c r="S31" s="262">
        <v>3120</v>
      </c>
      <c r="T31" s="262"/>
      <c r="U31" s="262"/>
      <c r="V31" s="261"/>
      <c r="W31" s="261"/>
      <c r="X31" s="6"/>
    </row>
    <row r="32" spans="1:24" ht="15.75" customHeight="1">
      <c r="A32" s="253"/>
      <c r="B32" s="88"/>
      <c r="C32" s="88"/>
      <c r="D32" s="88" t="s">
        <v>571</v>
      </c>
      <c r="E32" s="88"/>
      <c r="F32" s="88"/>
      <c r="G32" s="88"/>
      <c r="H32" s="88"/>
      <c r="I32" s="88" t="s">
        <v>572</v>
      </c>
      <c r="J32" s="88"/>
      <c r="K32" s="88"/>
      <c r="L32" s="88"/>
      <c r="M32" s="254"/>
      <c r="N32" s="260"/>
      <c r="O32" s="261"/>
      <c r="P32" s="261"/>
      <c r="Q32" s="262">
        <v>10879</v>
      </c>
      <c r="R32" s="261"/>
      <c r="S32" s="262">
        <v>10879</v>
      </c>
      <c r="T32" s="262"/>
      <c r="U32" s="262"/>
      <c r="V32" s="261"/>
      <c r="W32" s="261"/>
      <c r="X32" s="6"/>
    </row>
    <row r="33" spans="1:24" ht="15.75" customHeight="1">
      <c r="A33" s="253"/>
      <c r="B33" s="88"/>
      <c r="C33" s="88" t="s">
        <v>573</v>
      </c>
      <c r="D33" s="88"/>
      <c r="E33" s="88"/>
      <c r="F33" s="88"/>
      <c r="G33" s="88" t="s">
        <v>574</v>
      </c>
      <c r="H33" s="88"/>
      <c r="I33" s="88"/>
      <c r="J33" s="88"/>
      <c r="K33" s="88"/>
      <c r="L33" s="88"/>
      <c r="M33" s="254"/>
      <c r="N33" s="260"/>
      <c r="O33" s="261"/>
      <c r="P33" s="261"/>
      <c r="Q33" s="262">
        <v>380</v>
      </c>
      <c r="R33" s="261"/>
      <c r="S33" s="262">
        <v>380</v>
      </c>
      <c r="T33" s="262"/>
      <c r="U33" s="262"/>
      <c r="V33" s="261"/>
      <c r="W33" s="261"/>
      <c r="X33" s="6"/>
    </row>
    <row r="34" spans="1:24" ht="15.75" customHeight="1">
      <c r="A34" s="253"/>
      <c r="B34" s="88"/>
      <c r="C34" s="88"/>
      <c r="D34" s="88" t="s">
        <v>575</v>
      </c>
      <c r="E34" s="88"/>
      <c r="F34" s="88"/>
      <c r="G34" s="88"/>
      <c r="H34" s="88"/>
      <c r="I34" s="88" t="s">
        <v>576</v>
      </c>
      <c r="J34" s="88"/>
      <c r="K34" s="88"/>
      <c r="L34" s="88"/>
      <c r="M34" s="254"/>
      <c r="N34" s="260"/>
      <c r="O34" s="261"/>
      <c r="P34" s="261"/>
      <c r="Q34" s="262">
        <v>380</v>
      </c>
      <c r="R34" s="261"/>
      <c r="S34" s="262">
        <v>380</v>
      </c>
      <c r="T34" s="262"/>
      <c r="U34" s="262"/>
      <c r="V34" s="261"/>
      <c r="W34" s="261"/>
      <c r="X34" s="6"/>
    </row>
    <row r="35" spans="1:24" ht="15.75" customHeight="1">
      <c r="A35" s="253"/>
      <c r="B35" s="88"/>
      <c r="C35" s="88" t="s">
        <v>577</v>
      </c>
      <c r="D35" s="88"/>
      <c r="E35" s="88"/>
      <c r="F35" s="88"/>
      <c r="G35" s="88" t="s">
        <v>578</v>
      </c>
      <c r="H35" s="88"/>
      <c r="I35" s="88"/>
      <c r="J35" s="88"/>
      <c r="K35" s="88"/>
      <c r="L35" s="88"/>
      <c r="M35" s="254"/>
      <c r="N35" s="260"/>
      <c r="O35" s="261"/>
      <c r="P35" s="261"/>
      <c r="Q35" s="262">
        <v>16500</v>
      </c>
      <c r="R35" s="261"/>
      <c r="S35" s="262">
        <v>16500</v>
      </c>
      <c r="T35" s="262"/>
      <c r="U35" s="262"/>
      <c r="V35" s="261"/>
      <c r="W35" s="261"/>
      <c r="X35" s="6"/>
    </row>
    <row r="36" spans="1:24" ht="15.6" customHeight="1">
      <c r="A36" s="255"/>
      <c r="B36" s="89"/>
      <c r="C36" s="89"/>
      <c r="D36" s="89" t="s">
        <v>579</v>
      </c>
      <c r="E36" s="89"/>
      <c r="F36" s="89"/>
      <c r="G36" s="89"/>
      <c r="H36" s="89"/>
      <c r="I36" s="89" t="s">
        <v>580</v>
      </c>
      <c r="J36" s="89"/>
      <c r="K36" s="89"/>
      <c r="L36" s="89"/>
      <c r="M36" s="256"/>
      <c r="N36" s="263"/>
      <c r="O36" s="264"/>
      <c r="P36" s="264"/>
      <c r="Q36" s="265">
        <v>16500</v>
      </c>
      <c r="R36" s="264"/>
      <c r="S36" s="265">
        <v>16500</v>
      </c>
      <c r="T36" s="265"/>
      <c r="U36" s="265"/>
      <c r="V36" s="264"/>
      <c r="W36" s="264"/>
      <c r="X36" s="6"/>
    </row>
    <row r="37" spans="1:24" ht="15.75" customHeight="1">
      <c r="A37" s="251"/>
      <c r="B37" s="87"/>
      <c r="C37" s="87" t="s">
        <v>581</v>
      </c>
      <c r="D37" s="87"/>
      <c r="E37" s="87"/>
      <c r="F37" s="87"/>
      <c r="G37" s="87" t="s">
        <v>582</v>
      </c>
      <c r="H37" s="87"/>
      <c r="I37" s="87"/>
      <c r="J37" s="87"/>
      <c r="K37" s="87"/>
      <c r="L37" s="87"/>
      <c r="M37" s="252"/>
      <c r="N37" s="257"/>
      <c r="O37" s="259"/>
      <c r="P37" s="259"/>
      <c r="Q37" s="258">
        <v>61913</v>
      </c>
      <c r="R37" s="259"/>
      <c r="S37" s="258">
        <v>61913</v>
      </c>
      <c r="T37" s="258"/>
      <c r="U37" s="258"/>
      <c r="V37" s="259"/>
      <c r="W37" s="259"/>
      <c r="X37" s="6"/>
    </row>
    <row r="38" spans="1:24" ht="15.75" customHeight="1">
      <c r="A38" s="253"/>
      <c r="B38" s="88"/>
      <c r="C38" s="88"/>
      <c r="D38" s="88" t="s">
        <v>583</v>
      </c>
      <c r="E38" s="88"/>
      <c r="F38" s="88"/>
      <c r="G38" s="88"/>
      <c r="H38" s="88"/>
      <c r="I38" s="88" t="s">
        <v>584</v>
      </c>
      <c r="J38" s="88"/>
      <c r="K38" s="88"/>
      <c r="L38" s="88"/>
      <c r="M38" s="254"/>
      <c r="N38" s="260"/>
      <c r="O38" s="261"/>
      <c r="P38" s="261"/>
      <c r="Q38" s="262">
        <v>1800</v>
      </c>
      <c r="R38" s="261"/>
      <c r="S38" s="262">
        <v>1800</v>
      </c>
      <c r="T38" s="262"/>
      <c r="U38" s="262"/>
      <c r="V38" s="261"/>
      <c r="W38" s="261"/>
      <c r="X38" s="6"/>
    </row>
    <row r="39" spans="1:24" ht="15.75" customHeight="1">
      <c r="A39" s="253"/>
      <c r="B39" s="88"/>
      <c r="C39" s="88"/>
      <c r="D39" s="88" t="s">
        <v>585</v>
      </c>
      <c r="E39" s="88"/>
      <c r="F39" s="88"/>
      <c r="G39" s="88"/>
      <c r="H39" s="88"/>
      <c r="I39" s="88" t="s">
        <v>586</v>
      </c>
      <c r="J39" s="88"/>
      <c r="K39" s="88"/>
      <c r="L39" s="88"/>
      <c r="M39" s="254"/>
      <c r="N39" s="260"/>
      <c r="O39" s="261"/>
      <c r="P39" s="261"/>
      <c r="Q39" s="262">
        <v>17703</v>
      </c>
      <c r="R39" s="261"/>
      <c r="S39" s="262">
        <v>17703</v>
      </c>
      <c r="T39" s="262"/>
      <c r="U39" s="262"/>
      <c r="V39" s="261"/>
      <c r="W39" s="261"/>
      <c r="X39" s="6"/>
    </row>
    <row r="40" spans="1:24" ht="15.75" customHeight="1">
      <c r="A40" s="253"/>
      <c r="B40" s="88"/>
      <c r="C40" s="88"/>
      <c r="D40" s="88" t="s">
        <v>587</v>
      </c>
      <c r="E40" s="88"/>
      <c r="F40" s="88"/>
      <c r="G40" s="88"/>
      <c r="H40" s="88"/>
      <c r="I40" s="88" t="s">
        <v>588</v>
      </c>
      <c r="J40" s="88"/>
      <c r="K40" s="88"/>
      <c r="L40" s="88"/>
      <c r="M40" s="254"/>
      <c r="N40" s="260"/>
      <c r="O40" s="261"/>
      <c r="P40" s="261"/>
      <c r="Q40" s="262">
        <v>19250</v>
      </c>
      <c r="R40" s="261"/>
      <c r="S40" s="262">
        <v>19250</v>
      </c>
      <c r="T40" s="262"/>
      <c r="U40" s="262"/>
      <c r="V40" s="261"/>
      <c r="W40" s="261"/>
      <c r="X40" s="6"/>
    </row>
    <row r="41" spans="1:24" ht="15.75" customHeight="1">
      <c r="A41" s="253"/>
      <c r="B41" s="88"/>
      <c r="C41" s="88"/>
      <c r="D41" s="88" t="s">
        <v>589</v>
      </c>
      <c r="E41" s="88"/>
      <c r="F41" s="88"/>
      <c r="G41" s="88"/>
      <c r="H41" s="88"/>
      <c r="I41" s="88" t="s">
        <v>590</v>
      </c>
      <c r="J41" s="88"/>
      <c r="K41" s="88"/>
      <c r="L41" s="88"/>
      <c r="M41" s="254"/>
      <c r="N41" s="260"/>
      <c r="O41" s="261"/>
      <c r="P41" s="261"/>
      <c r="Q41" s="262">
        <v>23160</v>
      </c>
      <c r="R41" s="261"/>
      <c r="S41" s="262">
        <v>23160</v>
      </c>
      <c r="T41" s="262"/>
      <c r="U41" s="262"/>
      <c r="V41" s="261"/>
      <c r="W41" s="261"/>
      <c r="X41" s="6"/>
    </row>
    <row r="42" spans="1:24" ht="15.75" customHeight="1">
      <c r="A42" s="253"/>
      <c r="B42" s="88"/>
      <c r="C42" s="88" t="s">
        <v>591</v>
      </c>
      <c r="D42" s="88"/>
      <c r="E42" s="88"/>
      <c r="F42" s="88"/>
      <c r="G42" s="88" t="s">
        <v>592</v>
      </c>
      <c r="H42" s="88"/>
      <c r="I42" s="88"/>
      <c r="J42" s="88"/>
      <c r="K42" s="88"/>
      <c r="L42" s="88"/>
      <c r="M42" s="254"/>
      <c r="N42" s="260"/>
      <c r="O42" s="261"/>
      <c r="P42" s="261"/>
      <c r="Q42" s="262">
        <v>255485</v>
      </c>
      <c r="R42" s="261"/>
      <c r="S42" s="262">
        <v>255485</v>
      </c>
      <c r="T42" s="262"/>
      <c r="U42" s="262"/>
      <c r="V42" s="261"/>
      <c r="W42" s="261"/>
      <c r="X42" s="6"/>
    </row>
    <row r="43" spans="1:24" ht="15.75" customHeight="1">
      <c r="A43" s="253"/>
      <c r="B43" s="88"/>
      <c r="C43" s="88"/>
      <c r="D43" s="88" t="s">
        <v>593</v>
      </c>
      <c r="E43" s="88"/>
      <c r="F43" s="88"/>
      <c r="G43" s="88"/>
      <c r="H43" s="88"/>
      <c r="I43" s="88" t="s">
        <v>594</v>
      </c>
      <c r="J43" s="88"/>
      <c r="K43" s="88"/>
      <c r="L43" s="88"/>
      <c r="M43" s="254"/>
      <c r="N43" s="260"/>
      <c r="O43" s="261"/>
      <c r="P43" s="261"/>
      <c r="Q43" s="262">
        <v>235485</v>
      </c>
      <c r="R43" s="261"/>
      <c r="S43" s="262">
        <v>235485</v>
      </c>
      <c r="T43" s="262"/>
      <c r="U43" s="262"/>
      <c r="V43" s="261"/>
      <c r="W43" s="261"/>
      <c r="X43" s="6"/>
    </row>
    <row r="44" spans="1:24" ht="15.75" customHeight="1">
      <c r="A44" s="253"/>
      <c r="B44" s="88"/>
      <c r="C44" s="88"/>
      <c r="D44" s="88" t="s">
        <v>595</v>
      </c>
      <c r="E44" s="88"/>
      <c r="F44" s="88"/>
      <c r="G44" s="88"/>
      <c r="H44" s="88"/>
      <c r="I44" s="88" t="s">
        <v>596</v>
      </c>
      <c r="J44" s="88"/>
      <c r="K44" s="88"/>
      <c r="L44" s="88"/>
      <c r="M44" s="254"/>
      <c r="N44" s="260"/>
      <c r="O44" s="261"/>
      <c r="P44" s="261"/>
      <c r="Q44" s="262">
        <v>20000</v>
      </c>
      <c r="R44" s="261"/>
      <c r="S44" s="262">
        <v>20000</v>
      </c>
      <c r="T44" s="262"/>
      <c r="U44" s="262"/>
      <c r="V44" s="261"/>
      <c r="W44" s="261"/>
      <c r="X44" s="6"/>
    </row>
    <row r="45" spans="1:24" ht="15.75" customHeight="1">
      <c r="A45" s="253"/>
      <c r="B45" s="88"/>
      <c r="C45" s="88" t="s">
        <v>525</v>
      </c>
      <c r="D45" s="88"/>
      <c r="E45" s="88"/>
      <c r="F45" s="88"/>
      <c r="G45" s="88" t="s">
        <v>597</v>
      </c>
      <c r="H45" s="88"/>
      <c r="I45" s="88"/>
      <c r="J45" s="88"/>
      <c r="K45" s="88"/>
      <c r="L45" s="88"/>
      <c r="M45" s="254"/>
      <c r="N45" s="260"/>
      <c r="O45" s="261"/>
      <c r="P45" s="261"/>
      <c r="Q45" s="262">
        <v>40360</v>
      </c>
      <c r="R45" s="261"/>
      <c r="S45" s="262">
        <v>40360</v>
      </c>
      <c r="T45" s="262"/>
      <c r="U45" s="262"/>
      <c r="V45" s="261"/>
      <c r="W45" s="261"/>
      <c r="X45" s="6"/>
    </row>
    <row r="46" spans="1:24" ht="15.75" customHeight="1">
      <c r="A46" s="253"/>
      <c r="B46" s="88"/>
      <c r="C46" s="88"/>
      <c r="D46" s="88" t="s">
        <v>598</v>
      </c>
      <c r="E46" s="88"/>
      <c r="F46" s="88"/>
      <c r="G46" s="88"/>
      <c r="H46" s="88"/>
      <c r="I46" s="88" t="s">
        <v>599</v>
      </c>
      <c r="J46" s="88"/>
      <c r="K46" s="88"/>
      <c r="L46" s="88"/>
      <c r="M46" s="254"/>
      <c r="N46" s="260"/>
      <c r="O46" s="261"/>
      <c r="P46" s="261"/>
      <c r="Q46" s="262">
        <v>12860</v>
      </c>
      <c r="R46" s="261"/>
      <c r="S46" s="262">
        <v>12860</v>
      </c>
      <c r="T46" s="262"/>
      <c r="U46" s="262"/>
      <c r="V46" s="261"/>
      <c r="W46" s="261"/>
      <c r="X46" s="6"/>
    </row>
    <row r="47" spans="1:24" ht="15.75" customHeight="1">
      <c r="A47" s="253"/>
      <c r="B47" s="88"/>
      <c r="C47" s="88"/>
      <c r="D47" s="88" t="s">
        <v>600</v>
      </c>
      <c r="E47" s="88"/>
      <c r="F47" s="88"/>
      <c r="G47" s="88"/>
      <c r="H47" s="88"/>
      <c r="I47" s="88" t="s">
        <v>601</v>
      </c>
      <c r="J47" s="88"/>
      <c r="K47" s="88"/>
      <c r="L47" s="88"/>
      <c r="M47" s="254"/>
      <c r="N47" s="260"/>
      <c r="O47" s="261"/>
      <c r="P47" s="261"/>
      <c r="Q47" s="262">
        <v>27500</v>
      </c>
      <c r="R47" s="261"/>
      <c r="S47" s="262">
        <v>27500</v>
      </c>
      <c r="T47" s="262"/>
      <c r="U47" s="262"/>
      <c r="V47" s="261"/>
      <c r="W47" s="261"/>
      <c r="X47" s="6"/>
    </row>
    <row r="48" spans="1:24" ht="15.75" customHeight="1">
      <c r="A48" s="253"/>
      <c r="B48" s="88"/>
      <c r="C48" s="88" t="s">
        <v>602</v>
      </c>
      <c r="D48" s="88"/>
      <c r="E48" s="88"/>
      <c r="F48" s="88"/>
      <c r="G48" s="88" t="s">
        <v>603</v>
      </c>
      <c r="H48" s="88"/>
      <c r="I48" s="88"/>
      <c r="J48" s="88"/>
      <c r="K48" s="88"/>
      <c r="L48" s="88"/>
      <c r="M48" s="254"/>
      <c r="N48" s="260"/>
      <c r="O48" s="261"/>
      <c r="P48" s="261"/>
      <c r="Q48" s="262">
        <v>20805</v>
      </c>
      <c r="R48" s="261"/>
      <c r="S48" s="262">
        <v>20805</v>
      </c>
      <c r="T48" s="262"/>
      <c r="U48" s="262"/>
      <c r="V48" s="261"/>
      <c r="W48" s="261"/>
      <c r="X48" s="6"/>
    </row>
    <row r="49" spans="1:24" ht="15.75" customHeight="1">
      <c r="A49" s="253"/>
      <c r="B49" s="88"/>
      <c r="C49" s="88"/>
      <c r="D49" s="88" t="s">
        <v>604</v>
      </c>
      <c r="E49" s="88"/>
      <c r="F49" s="88"/>
      <c r="G49" s="88"/>
      <c r="H49" s="88"/>
      <c r="I49" s="88" t="s">
        <v>603</v>
      </c>
      <c r="J49" s="88"/>
      <c r="K49" s="88"/>
      <c r="L49" s="88"/>
      <c r="M49" s="254"/>
      <c r="N49" s="260"/>
      <c r="O49" s="261"/>
      <c r="P49" s="261"/>
      <c r="Q49" s="262">
        <v>20805</v>
      </c>
      <c r="R49" s="261"/>
      <c r="S49" s="262">
        <v>20805</v>
      </c>
      <c r="T49" s="262"/>
      <c r="U49" s="262"/>
      <c r="V49" s="261"/>
      <c r="W49" s="261"/>
      <c r="X49" s="6"/>
    </row>
    <row r="50" spans="1:24" ht="15.75" customHeight="1">
      <c r="A50" s="253"/>
      <c r="B50" s="88" t="s">
        <v>528</v>
      </c>
      <c r="C50" s="88"/>
      <c r="D50" s="88"/>
      <c r="E50" s="88"/>
      <c r="F50" s="88" t="s">
        <v>605</v>
      </c>
      <c r="G50" s="88"/>
      <c r="H50" s="88"/>
      <c r="I50" s="88"/>
      <c r="J50" s="88"/>
      <c r="K50" s="88"/>
      <c r="L50" s="88"/>
      <c r="M50" s="254"/>
      <c r="N50" s="260"/>
      <c r="O50" s="261">
        <v>208000</v>
      </c>
      <c r="P50" s="261"/>
      <c r="Q50" s="262">
        <v>35112</v>
      </c>
      <c r="R50" s="261"/>
      <c r="S50" s="262">
        <v>-172888</v>
      </c>
      <c r="T50" s="262"/>
      <c r="U50" s="262"/>
      <c r="V50" s="261"/>
      <c r="W50" s="261" t="s">
        <v>606</v>
      </c>
      <c r="X50" s="6"/>
    </row>
    <row r="51" spans="1:24" ht="15.75" customHeight="1">
      <c r="A51" s="253"/>
      <c r="B51" s="88"/>
      <c r="C51" s="88" t="s">
        <v>607</v>
      </c>
      <c r="D51" s="88"/>
      <c r="E51" s="88"/>
      <c r="F51" s="88"/>
      <c r="G51" s="88" t="s">
        <v>608</v>
      </c>
      <c r="H51" s="88"/>
      <c r="I51" s="88"/>
      <c r="J51" s="88"/>
      <c r="K51" s="88"/>
      <c r="L51" s="88"/>
      <c r="M51" s="254"/>
      <c r="N51" s="260"/>
      <c r="O51" s="261"/>
      <c r="P51" s="261"/>
      <c r="Q51" s="262">
        <v>35112</v>
      </c>
      <c r="R51" s="261"/>
      <c r="S51" s="262">
        <v>35112</v>
      </c>
      <c r="T51" s="262"/>
      <c r="U51" s="262"/>
      <c r="V51" s="261"/>
      <c r="W51" s="261"/>
      <c r="X51" s="6"/>
    </row>
    <row r="52" spans="1:24" ht="15.75" customHeight="1">
      <c r="A52" s="253"/>
      <c r="B52" s="88"/>
      <c r="C52" s="88"/>
      <c r="D52" s="88" t="s">
        <v>609</v>
      </c>
      <c r="E52" s="88"/>
      <c r="F52" s="88"/>
      <c r="G52" s="88"/>
      <c r="H52" s="88"/>
      <c r="I52" s="88" t="s">
        <v>610</v>
      </c>
      <c r="J52" s="88"/>
      <c r="K52" s="88"/>
      <c r="L52" s="88"/>
      <c r="M52" s="254"/>
      <c r="N52" s="260"/>
      <c r="O52" s="261"/>
      <c r="P52" s="261"/>
      <c r="Q52" s="262">
        <v>8203</v>
      </c>
      <c r="R52" s="261"/>
      <c r="S52" s="262">
        <v>8203</v>
      </c>
      <c r="T52" s="262"/>
      <c r="U52" s="262"/>
      <c r="V52" s="261"/>
      <c r="W52" s="261"/>
      <c r="X52" s="6"/>
    </row>
    <row r="53" spans="1:24" ht="15.75" customHeight="1">
      <c r="A53" s="253"/>
      <c r="B53" s="88"/>
      <c r="C53" s="88"/>
      <c r="D53" s="88" t="s">
        <v>611</v>
      </c>
      <c r="E53" s="88"/>
      <c r="F53" s="88"/>
      <c r="G53" s="88"/>
      <c r="H53" s="88"/>
      <c r="I53" s="88" t="s">
        <v>612</v>
      </c>
      <c r="J53" s="88"/>
      <c r="K53" s="88"/>
      <c r="L53" s="88"/>
      <c r="M53" s="254"/>
      <c r="N53" s="260"/>
      <c r="O53" s="262"/>
      <c r="P53" s="261"/>
      <c r="Q53" s="262">
        <v>6595</v>
      </c>
      <c r="R53" s="261"/>
      <c r="S53" s="262">
        <v>6595</v>
      </c>
      <c r="T53" s="262"/>
      <c r="U53" s="262"/>
      <c r="V53" s="261"/>
      <c r="W53" s="262"/>
      <c r="X53" s="6"/>
    </row>
    <row r="54" spans="1:24" ht="15.75" customHeight="1">
      <c r="A54" s="253"/>
      <c r="B54" s="88"/>
      <c r="C54" s="88"/>
      <c r="D54" s="88" t="s">
        <v>613</v>
      </c>
      <c r="E54" s="88"/>
      <c r="F54" s="88"/>
      <c r="G54" s="88"/>
      <c r="H54" s="88"/>
      <c r="I54" s="88" t="s">
        <v>614</v>
      </c>
      <c r="J54" s="88"/>
      <c r="K54" s="88"/>
      <c r="L54" s="88"/>
      <c r="M54" s="254"/>
      <c r="N54" s="260"/>
      <c r="O54" s="261"/>
      <c r="P54" s="261"/>
      <c r="Q54" s="262">
        <v>1440</v>
      </c>
      <c r="R54" s="261"/>
      <c r="S54" s="262">
        <v>1440</v>
      </c>
      <c r="T54" s="262"/>
      <c r="U54" s="262"/>
      <c r="V54" s="261"/>
      <c r="W54" s="261"/>
      <c r="X54" s="6"/>
    </row>
    <row r="55" spans="1:24" ht="15.75" customHeight="1">
      <c r="A55" s="253"/>
      <c r="B55" s="88"/>
      <c r="C55" s="88"/>
      <c r="D55" s="88" t="s">
        <v>615</v>
      </c>
      <c r="E55" s="88"/>
      <c r="F55" s="88"/>
      <c r="G55" s="88"/>
      <c r="H55" s="88"/>
      <c r="I55" s="88" t="s">
        <v>616</v>
      </c>
      <c r="J55" s="88"/>
      <c r="K55" s="88"/>
      <c r="L55" s="88"/>
      <c r="M55" s="254"/>
      <c r="N55" s="260"/>
      <c r="O55" s="261"/>
      <c r="P55" s="261"/>
      <c r="Q55" s="262">
        <v>18874</v>
      </c>
      <c r="R55" s="261"/>
      <c r="S55" s="262">
        <v>18874</v>
      </c>
      <c r="T55" s="262"/>
      <c r="U55" s="262"/>
      <c r="V55" s="261"/>
      <c r="W55" s="261"/>
      <c r="X55" s="6"/>
    </row>
    <row r="56" spans="1:24" ht="15.75" customHeight="1">
      <c r="A56" s="253"/>
      <c r="B56" s="88" t="s">
        <v>617</v>
      </c>
      <c r="C56" s="88"/>
      <c r="D56" s="88"/>
      <c r="E56" s="88"/>
      <c r="F56" s="88" t="s">
        <v>618</v>
      </c>
      <c r="G56" s="88"/>
      <c r="H56" s="88"/>
      <c r="I56" s="88"/>
      <c r="J56" s="88"/>
      <c r="K56" s="88"/>
      <c r="L56" s="88"/>
      <c r="M56" s="254"/>
      <c r="N56" s="260"/>
      <c r="O56" s="261">
        <v>416000</v>
      </c>
      <c r="P56" s="261"/>
      <c r="Q56" s="262">
        <v>367190</v>
      </c>
      <c r="R56" s="261"/>
      <c r="S56" s="262">
        <v>-48810</v>
      </c>
      <c r="T56" s="262"/>
      <c r="U56" s="262"/>
      <c r="V56" s="261"/>
      <c r="W56" s="261" t="s">
        <v>619</v>
      </c>
      <c r="X56" s="6"/>
    </row>
    <row r="57" spans="1:24" ht="15.75" customHeight="1">
      <c r="A57" s="253"/>
      <c r="B57" s="88"/>
      <c r="C57" s="88" t="s">
        <v>620</v>
      </c>
      <c r="D57" s="88"/>
      <c r="E57" s="88"/>
      <c r="F57" s="88"/>
      <c r="G57" s="88" t="s">
        <v>621</v>
      </c>
      <c r="H57" s="88"/>
      <c r="I57" s="88"/>
      <c r="J57" s="88"/>
      <c r="K57" s="88"/>
      <c r="L57" s="88"/>
      <c r="M57" s="254"/>
      <c r="N57" s="260"/>
      <c r="O57" s="261"/>
      <c r="P57" s="261"/>
      <c r="Q57" s="262">
        <v>315120</v>
      </c>
      <c r="R57" s="261"/>
      <c r="S57" s="262">
        <v>315120</v>
      </c>
      <c r="T57" s="262"/>
      <c r="U57" s="262"/>
      <c r="V57" s="261"/>
      <c r="W57" s="261"/>
      <c r="X57" s="6"/>
    </row>
    <row r="58" spans="1:24" ht="15.75" customHeight="1">
      <c r="A58" s="253"/>
      <c r="B58" s="88"/>
      <c r="C58" s="88"/>
      <c r="D58" s="88" t="s">
        <v>622</v>
      </c>
      <c r="E58" s="88"/>
      <c r="F58" s="88"/>
      <c r="G58" s="88"/>
      <c r="H58" s="88"/>
      <c r="I58" s="88" t="s">
        <v>623</v>
      </c>
      <c r="J58" s="88"/>
      <c r="K58" s="88"/>
      <c r="L58" s="88"/>
      <c r="M58" s="254"/>
      <c r="N58" s="260"/>
      <c r="O58" s="261"/>
      <c r="P58" s="261"/>
      <c r="Q58" s="262">
        <v>315120</v>
      </c>
      <c r="R58" s="261"/>
      <c r="S58" s="262">
        <v>315120</v>
      </c>
      <c r="T58" s="262"/>
      <c r="U58" s="262"/>
      <c r="V58" s="261"/>
      <c r="W58" s="261"/>
      <c r="X58" s="6"/>
    </row>
    <row r="59" spans="1:24" ht="15.75" customHeight="1">
      <c r="A59" s="253"/>
      <c r="B59" s="88"/>
      <c r="C59" s="88" t="s">
        <v>624</v>
      </c>
      <c r="D59" s="88"/>
      <c r="E59" s="88"/>
      <c r="F59" s="88"/>
      <c r="G59" s="88" t="s">
        <v>625</v>
      </c>
      <c r="H59" s="88"/>
      <c r="I59" s="88"/>
      <c r="J59" s="88"/>
      <c r="K59" s="88"/>
      <c r="L59" s="88"/>
      <c r="M59" s="254"/>
      <c r="N59" s="260"/>
      <c r="O59" s="261"/>
      <c r="P59" s="261"/>
      <c r="Q59" s="262">
        <v>52070</v>
      </c>
      <c r="R59" s="261"/>
      <c r="S59" s="262">
        <v>52070</v>
      </c>
      <c r="T59" s="262"/>
      <c r="U59" s="262"/>
      <c r="V59" s="261"/>
      <c r="W59" s="261"/>
      <c r="X59" s="6"/>
    </row>
    <row r="60" spans="1:24" ht="15.75" customHeight="1">
      <c r="A60" s="253"/>
      <c r="B60" s="88"/>
      <c r="C60" s="88"/>
      <c r="D60" s="88" t="s">
        <v>626</v>
      </c>
      <c r="E60" s="88"/>
      <c r="F60" s="88"/>
      <c r="G60" s="88"/>
      <c r="H60" s="88"/>
      <c r="I60" s="88" t="s">
        <v>625</v>
      </c>
      <c r="J60" s="88"/>
      <c r="K60" s="88"/>
      <c r="L60" s="88"/>
      <c r="M60" s="254"/>
      <c r="N60" s="260"/>
      <c r="O60" s="261"/>
      <c r="P60" s="261"/>
      <c r="Q60" s="262">
        <v>52070</v>
      </c>
      <c r="R60" s="261"/>
      <c r="S60" s="262">
        <v>52070</v>
      </c>
      <c r="T60" s="262"/>
      <c r="U60" s="262"/>
      <c r="V60" s="261"/>
      <c r="W60" s="261"/>
      <c r="X60" s="6"/>
    </row>
    <row r="61" spans="1:24" ht="15.75" customHeight="1">
      <c r="A61" s="255"/>
      <c r="B61" s="89" t="s">
        <v>627</v>
      </c>
      <c r="C61" s="89"/>
      <c r="D61" s="89"/>
      <c r="E61" s="89"/>
      <c r="F61" s="89" t="s">
        <v>628</v>
      </c>
      <c r="G61" s="89"/>
      <c r="H61" s="89"/>
      <c r="I61" s="89"/>
      <c r="J61" s="89"/>
      <c r="K61" s="89"/>
      <c r="L61" s="89"/>
      <c r="M61" s="256"/>
      <c r="N61" s="263"/>
      <c r="O61" s="264">
        <v>33000</v>
      </c>
      <c r="P61" s="264"/>
      <c r="Q61" s="265">
        <v>10440</v>
      </c>
      <c r="R61" s="264"/>
      <c r="S61" s="265">
        <v>-22560</v>
      </c>
      <c r="T61" s="265"/>
      <c r="U61" s="265"/>
      <c r="V61" s="264"/>
      <c r="W61" s="264" t="s">
        <v>629</v>
      </c>
      <c r="X61" s="6"/>
    </row>
    <row r="62" spans="1:24" ht="15.75" customHeight="1">
      <c r="A62" s="251"/>
      <c r="B62" s="87"/>
      <c r="C62" s="87" t="s">
        <v>630</v>
      </c>
      <c r="D62" s="87"/>
      <c r="E62" s="87"/>
      <c r="F62" s="87"/>
      <c r="G62" s="87" t="s">
        <v>631</v>
      </c>
      <c r="H62" s="87"/>
      <c r="I62" s="87"/>
      <c r="J62" s="87"/>
      <c r="K62" s="87"/>
      <c r="L62" s="87"/>
      <c r="M62" s="252"/>
      <c r="N62" s="257"/>
      <c r="O62" s="258"/>
      <c r="P62" s="259"/>
      <c r="Q62" s="259">
        <v>1000</v>
      </c>
      <c r="R62" s="259"/>
      <c r="S62" s="258">
        <v>1000</v>
      </c>
      <c r="T62" s="258"/>
      <c r="U62" s="258"/>
      <c r="V62" s="259"/>
      <c r="W62" s="258"/>
      <c r="X62" s="6"/>
    </row>
    <row r="63" spans="1:24" ht="15.75" customHeight="1">
      <c r="A63" s="253"/>
      <c r="B63" s="88"/>
      <c r="C63" s="88"/>
      <c r="D63" s="88" t="s">
        <v>632</v>
      </c>
      <c r="E63" s="88"/>
      <c r="F63" s="88"/>
      <c r="G63" s="88"/>
      <c r="H63" s="88"/>
      <c r="I63" s="88" t="s">
        <v>633</v>
      </c>
      <c r="J63" s="88"/>
      <c r="K63" s="88"/>
      <c r="L63" s="88"/>
      <c r="M63" s="254"/>
      <c r="N63" s="260"/>
      <c r="O63" s="262"/>
      <c r="P63" s="261"/>
      <c r="Q63" s="262">
        <v>1000</v>
      </c>
      <c r="R63" s="261"/>
      <c r="S63" s="262">
        <v>1000</v>
      </c>
      <c r="T63" s="262"/>
      <c r="U63" s="262"/>
      <c r="V63" s="261"/>
      <c r="W63" s="262"/>
      <c r="X63" s="6"/>
    </row>
    <row r="64" spans="1:24" ht="15.75" customHeight="1">
      <c r="A64" s="253"/>
      <c r="B64" s="88"/>
      <c r="C64" s="88" t="s">
        <v>634</v>
      </c>
      <c r="D64" s="88"/>
      <c r="E64" s="88"/>
      <c r="F64" s="88"/>
      <c r="G64" s="88" t="s">
        <v>635</v>
      </c>
      <c r="H64" s="88"/>
      <c r="I64" s="88"/>
      <c r="J64" s="88"/>
      <c r="K64" s="88"/>
      <c r="L64" s="88"/>
      <c r="M64" s="254"/>
      <c r="N64" s="260"/>
      <c r="O64" s="262"/>
      <c r="P64" s="261"/>
      <c r="Q64" s="262">
        <v>8000</v>
      </c>
      <c r="R64" s="261"/>
      <c r="S64" s="262">
        <v>8000</v>
      </c>
      <c r="T64" s="262"/>
      <c r="U64" s="262"/>
      <c r="V64" s="261"/>
      <c r="W64" s="262"/>
      <c r="X64" s="6"/>
    </row>
    <row r="65" spans="1:24" ht="15.75" customHeight="1">
      <c r="A65" s="253"/>
      <c r="B65" s="88"/>
      <c r="C65" s="88"/>
      <c r="D65" s="88" t="s">
        <v>636</v>
      </c>
      <c r="E65" s="88"/>
      <c r="F65" s="88"/>
      <c r="G65" s="88"/>
      <c r="H65" s="88"/>
      <c r="I65" s="88" t="s">
        <v>637</v>
      </c>
      <c r="J65" s="88"/>
      <c r="K65" s="88"/>
      <c r="L65" s="88"/>
      <c r="M65" s="254"/>
      <c r="N65" s="260"/>
      <c r="O65" s="262"/>
      <c r="P65" s="261"/>
      <c r="Q65" s="262">
        <v>8000</v>
      </c>
      <c r="R65" s="261"/>
      <c r="S65" s="262">
        <v>8000</v>
      </c>
      <c r="T65" s="262"/>
      <c r="U65" s="262"/>
      <c r="V65" s="261"/>
      <c r="W65" s="262"/>
      <c r="X65" s="6"/>
    </row>
    <row r="66" spans="1:24" ht="15.75" customHeight="1">
      <c r="A66" s="253"/>
      <c r="B66" s="88"/>
      <c r="C66" s="88" t="s">
        <v>638</v>
      </c>
      <c r="D66" s="88"/>
      <c r="E66" s="88"/>
      <c r="F66" s="88"/>
      <c r="G66" s="88" t="s">
        <v>639</v>
      </c>
      <c r="H66" s="88"/>
      <c r="I66" s="88"/>
      <c r="J66" s="88"/>
      <c r="K66" s="88"/>
      <c r="L66" s="88"/>
      <c r="M66" s="254"/>
      <c r="N66" s="260"/>
      <c r="O66" s="262"/>
      <c r="P66" s="261"/>
      <c r="Q66" s="262">
        <v>1440</v>
      </c>
      <c r="R66" s="261"/>
      <c r="S66" s="262">
        <v>1440</v>
      </c>
      <c r="T66" s="262"/>
      <c r="U66" s="262"/>
      <c r="V66" s="261"/>
      <c r="W66" s="262"/>
      <c r="X66" s="6"/>
    </row>
    <row r="67" spans="1:24" ht="15.75" customHeight="1">
      <c r="A67" s="253"/>
      <c r="B67" s="88"/>
      <c r="C67" s="88"/>
      <c r="D67" s="88" t="s">
        <v>640</v>
      </c>
      <c r="E67" s="88"/>
      <c r="F67" s="88"/>
      <c r="G67" s="88"/>
      <c r="H67" s="88"/>
      <c r="I67" s="88" t="s">
        <v>641</v>
      </c>
      <c r="J67" s="88"/>
      <c r="K67" s="88"/>
      <c r="L67" s="88"/>
      <c r="M67" s="254"/>
      <c r="N67" s="260"/>
      <c r="O67" s="262"/>
      <c r="P67" s="261"/>
      <c r="Q67" s="262">
        <v>1440</v>
      </c>
      <c r="R67" s="261"/>
      <c r="S67" s="262">
        <v>1440</v>
      </c>
      <c r="T67" s="262"/>
      <c r="U67" s="262"/>
      <c r="V67" s="261"/>
      <c r="W67" s="262"/>
      <c r="X67" s="6"/>
    </row>
    <row r="68" spans="1:24" ht="15.75" customHeight="1">
      <c r="A68" s="253"/>
      <c r="B68" s="88" t="s">
        <v>642</v>
      </c>
      <c r="C68" s="88"/>
      <c r="D68" s="88"/>
      <c r="E68" s="88"/>
      <c r="F68" s="88" t="s">
        <v>203</v>
      </c>
      <c r="G68" s="88"/>
      <c r="H68" s="88"/>
      <c r="I68" s="88"/>
      <c r="J68" s="88"/>
      <c r="K68" s="88"/>
      <c r="L68" s="88"/>
      <c r="M68" s="254"/>
      <c r="N68" s="260"/>
      <c r="O68" s="261">
        <v>46000</v>
      </c>
      <c r="P68" s="261"/>
      <c r="Q68" s="262">
        <v>320</v>
      </c>
      <c r="R68" s="261"/>
      <c r="S68" s="262">
        <v>-45680</v>
      </c>
      <c r="T68" s="262"/>
      <c r="U68" s="262"/>
      <c r="V68" s="261"/>
      <c r="W68" s="261" t="s">
        <v>643</v>
      </c>
      <c r="X68" s="6"/>
    </row>
    <row r="69" spans="1:24" ht="15.75" customHeight="1">
      <c r="A69" s="253"/>
      <c r="B69" s="88"/>
      <c r="C69" s="88" t="s">
        <v>644</v>
      </c>
      <c r="D69" s="88"/>
      <c r="E69" s="88"/>
      <c r="F69" s="88"/>
      <c r="G69" s="88" t="s">
        <v>645</v>
      </c>
      <c r="H69" s="88"/>
      <c r="I69" s="88"/>
      <c r="J69" s="88"/>
      <c r="K69" s="88"/>
      <c r="L69" s="88"/>
      <c r="M69" s="254"/>
      <c r="N69" s="260"/>
      <c r="O69" s="261"/>
      <c r="P69" s="261"/>
      <c r="Q69" s="262">
        <v>320</v>
      </c>
      <c r="R69" s="261"/>
      <c r="S69" s="262">
        <v>320</v>
      </c>
      <c r="T69" s="262"/>
      <c r="U69" s="262"/>
      <c r="V69" s="261"/>
      <c r="W69" s="261"/>
      <c r="X69" s="6"/>
    </row>
    <row r="70" spans="1:24" ht="15.75" customHeight="1">
      <c r="A70" s="253"/>
      <c r="B70" s="88"/>
      <c r="C70" s="88"/>
      <c r="D70" s="88" t="s">
        <v>646</v>
      </c>
      <c r="E70" s="88"/>
      <c r="F70" s="88"/>
      <c r="G70" s="88"/>
      <c r="H70" s="88"/>
      <c r="I70" s="88" t="s">
        <v>203</v>
      </c>
      <c r="J70" s="88"/>
      <c r="K70" s="88"/>
      <c r="L70" s="88"/>
      <c r="M70" s="254"/>
      <c r="N70" s="260"/>
      <c r="O70" s="261"/>
      <c r="P70" s="261"/>
      <c r="Q70" s="262">
        <v>320</v>
      </c>
      <c r="R70" s="261"/>
      <c r="S70" s="262">
        <v>320</v>
      </c>
      <c r="T70" s="262"/>
      <c r="U70" s="262"/>
      <c r="V70" s="261"/>
      <c r="W70" s="261"/>
      <c r="X70" s="6"/>
    </row>
    <row r="71" spans="1:24" ht="15.75" customHeight="1">
      <c r="A71" s="253"/>
      <c r="B71" s="88"/>
      <c r="C71" s="88"/>
      <c r="D71" s="88" t="s">
        <v>647</v>
      </c>
      <c r="E71" s="88"/>
      <c r="F71" s="88"/>
      <c r="G71" s="88"/>
      <c r="H71" s="88"/>
      <c r="I71" s="88"/>
      <c r="J71" s="88"/>
      <c r="K71" s="88"/>
      <c r="L71" s="88"/>
      <c r="M71" s="254"/>
      <c r="N71" s="260"/>
      <c r="O71" s="261">
        <v>36079000</v>
      </c>
      <c r="P71" s="261"/>
      <c r="Q71" s="262">
        <v>21620543</v>
      </c>
      <c r="R71" s="261"/>
      <c r="S71" s="262">
        <v>-14458457</v>
      </c>
      <c r="T71" s="262"/>
      <c r="U71" s="262"/>
      <c r="V71" s="261"/>
      <c r="W71" s="261" t="s">
        <v>648</v>
      </c>
      <c r="X71" s="6"/>
    </row>
    <row r="72" spans="1:24" ht="15.75" customHeight="1">
      <c r="A72" s="253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4"/>
      <c r="N72" s="260"/>
      <c r="O72" s="261"/>
      <c r="P72" s="261"/>
      <c r="Q72" s="262"/>
      <c r="R72" s="261"/>
      <c r="S72" s="262"/>
      <c r="T72" s="262"/>
      <c r="U72" s="262"/>
      <c r="V72" s="261"/>
      <c r="W72" s="261"/>
      <c r="X72" s="6"/>
    </row>
    <row r="73" spans="1:24" ht="15.75" customHeight="1">
      <c r="A73" s="253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4"/>
      <c r="N73" s="260"/>
      <c r="O73" s="261"/>
      <c r="P73" s="261"/>
      <c r="Q73" s="262"/>
      <c r="R73" s="261"/>
      <c r="S73" s="262"/>
      <c r="T73" s="262"/>
      <c r="U73" s="262"/>
      <c r="V73" s="261"/>
      <c r="W73" s="261"/>
      <c r="X73" s="6"/>
    </row>
    <row r="74" spans="1:24" ht="15.75" customHeight="1">
      <c r="A74" s="253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4"/>
      <c r="N74" s="260"/>
      <c r="O74" s="261"/>
      <c r="P74" s="261"/>
      <c r="Q74" s="262"/>
      <c r="R74" s="261"/>
      <c r="S74" s="262"/>
      <c r="T74" s="262"/>
      <c r="U74" s="262"/>
      <c r="V74" s="261"/>
      <c r="W74" s="261"/>
      <c r="X74" s="6"/>
    </row>
    <row r="75" spans="1:24" ht="15.75" customHeight="1">
      <c r="A75" s="253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4"/>
      <c r="N75" s="260"/>
      <c r="O75" s="261"/>
      <c r="P75" s="261"/>
      <c r="Q75" s="262"/>
      <c r="R75" s="261"/>
      <c r="S75" s="262"/>
      <c r="T75" s="262"/>
      <c r="U75" s="262"/>
      <c r="V75" s="261"/>
      <c r="W75" s="261"/>
      <c r="X75" s="6"/>
    </row>
    <row r="76" spans="1:24" ht="15.75" customHeight="1">
      <c r="A76" s="253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4"/>
      <c r="N76" s="260"/>
      <c r="O76" s="261"/>
      <c r="P76" s="261"/>
      <c r="Q76" s="262"/>
      <c r="R76" s="261"/>
      <c r="S76" s="262"/>
      <c r="T76" s="262"/>
      <c r="U76" s="262"/>
      <c r="V76" s="261"/>
      <c r="W76" s="261"/>
      <c r="X76" s="6"/>
    </row>
    <row r="77" spans="1:24" ht="15.75" customHeight="1">
      <c r="A77" s="253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4"/>
      <c r="N77" s="260"/>
      <c r="O77" s="261"/>
      <c r="P77" s="261"/>
      <c r="Q77" s="262"/>
      <c r="R77" s="261"/>
      <c r="S77" s="262"/>
      <c r="T77" s="262"/>
      <c r="U77" s="262"/>
      <c r="V77" s="261"/>
      <c r="W77" s="261"/>
      <c r="X77" s="6"/>
    </row>
    <row r="78" spans="1:24" ht="15.75" customHeight="1">
      <c r="A78" s="253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4"/>
      <c r="N78" s="260"/>
      <c r="O78" s="261"/>
      <c r="P78" s="261"/>
      <c r="Q78" s="262"/>
      <c r="R78" s="261"/>
      <c r="S78" s="262"/>
      <c r="T78" s="262"/>
      <c r="U78" s="262"/>
      <c r="V78" s="261"/>
      <c r="W78" s="261"/>
      <c r="X78" s="6"/>
    </row>
    <row r="79" spans="1:24" ht="15.75" customHeight="1">
      <c r="A79" s="253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4"/>
      <c r="N79" s="260"/>
      <c r="O79" s="261"/>
      <c r="P79" s="261"/>
      <c r="Q79" s="262"/>
      <c r="R79" s="261"/>
      <c r="S79" s="262"/>
      <c r="T79" s="262"/>
      <c r="U79" s="262"/>
      <c r="V79" s="261"/>
      <c r="W79" s="261"/>
      <c r="X79" s="6"/>
    </row>
    <row r="80" spans="1:24" ht="15.75" customHeight="1">
      <c r="A80" s="253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4"/>
      <c r="N80" s="260"/>
      <c r="O80" s="261"/>
      <c r="P80" s="261"/>
      <c r="Q80" s="262"/>
      <c r="R80" s="261"/>
      <c r="S80" s="262"/>
      <c r="T80" s="262"/>
      <c r="U80" s="262"/>
      <c r="V80" s="261"/>
      <c r="W80" s="261"/>
      <c r="X80" s="6"/>
    </row>
    <row r="81" spans="1:24" ht="15.75" customHeight="1">
      <c r="A81" s="253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4"/>
      <c r="N81" s="260"/>
      <c r="O81" s="261"/>
      <c r="P81" s="261"/>
      <c r="Q81" s="262"/>
      <c r="R81" s="261"/>
      <c r="S81" s="262"/>
      <c r="T81" s="262"/>
      <c r="U81" s="262"/>
      <c r="V81" s="261"/>
      <c r="W81" s="261"/>
      <c r="X81" s="6"/>
    </row>
    <row r="82" spans="1:24" ht="15.75" customHeight="1">
      <c r="A82" s="253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4"/>
      <c r="N82" s="260"/>
      <c r="O82" s="261"/>
      <c r="P82" s="261"/>
      <c r="Q82" s="262"/>
      <c r="R82" s="261"/>
      <c r="S82" s="262"/>
      <c r="T82" s="262"/>
      <c r="U82" s="262"/>
      <c r="V82" s="261"/>
      <c r="W82" s="261"/>
      <c r="X82" s="6"/>
    </row>
    <row r="83" spans="1:24" ht="15.75" customHeight="1">
      <c r="A83" s="253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4"/>
      <c r="N83" s="260"/>
      <c r="O83" s="262"/>
      <c r="P83" s="261"/>
      <c r="Q83" s="262"/>
      <c r="R83" s="261"/>
      <c r="S83" s="262"/>
      <c r="T83" s="262"/>
      <c r="U83" s="262"/>
      <c r="V83" s="261"/>
      <c r="W83" s="262"/>
      <c r="X83" s="6"/>
    </row>
    <row r="84" spans="1:24" ht="15.75" customHeight="1">
      <c r="A84" s="253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4"/>
      <c r="N84" s="260"/>
      <c r="O84" s="261"/>
      <c r="P84" s="261"/>
      <c r="Q84" s="262"/>
      <c r="R84" s="261"/>
      <c r="S84" s="262"/>
      <c r="T84" s="262"/>
      <c r="U84" s="262"/>
      <c r="V84" s="261"/>
      <c r="W84" s="261"/>
      <c r="X84" s="6"/>
    </row>
    <row r="85" spans="1:24" ht="15.75" customHeight="1">
      <c r="A85" s="253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4"/>
      <c r="N85" s="260"/>
      <c r="O85" s="261"/>
      <c r="P85" s="261"/>
      <c r="Q85" s="262"/>
      <c r="R85" s="261"/>
      <c r="S85" s="262"/>
      <c r="T85" s="262"/>
      <c r="U85" s="262"/>
      <c r="V85" s="261"/>
      <c r="W85" s="261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56"/>
      <c r="N86" s="263"/>
      <c r="O86" s="265"/>
      <c r="P86" s="264"/>
      <c r="Q86" s="265"/>
      <c r="R86" s="264"/>
      <c r="S86" s="265"/>
      <c r="T86" s="265"/>
      <c r="U86" s="265"/>
      <c r="V86" s="264"/>
      <c r="W86" s="265"/>
      <c r="X86" s="6"/>
    </row>
    <row r="87" spans="1:24" ht="26.25" customHeight="1">
      <c r="B87" s="238"/>
      <c r="C87" s="238"/>
      <c r="D87" s="238"/>
      <c r="E87" s="238"/>
      <c r="F87" s="238"/>
      <c r="G87" s="238"/>
      <c r="H87" s="238"/>
      <c r="I87" s="238"/>
      <c r="J87" s="238"/>
      <c r="K87" s="238"/>
      <c r="L87" s="238"/>
      <c r="M87" s="238"/>
      <c r="N87" s="238"/>
      <c r="O87" s="238"/>
      <c r="P87" s="238"/>
      <c r="Q87" s="238"/>
      <c r="R87" s="238"/>
      <c r="S87" s="238"/>
      <c r="T87" s="238"/>
      <c r="U87" s="238"/>
      <c r="V87" s="238"/>
      <c r="W87" s="238"/>
    </row>
    <row r="88" spans="1:24" ht="30" customHeight="1">
      <c r="B88" s="238"/>
      <c r="C88" s="238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</row>
    <row r="89" spans="1:24" ht="12.75" customHeight="1"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</row>
    <row r="90" spans="1:24" ht="12.75" customHeight="1">
      <c r="B90" s="238"/>
      <c r="C90" s="238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</row>
    <row r="91" spans="1:24" ht="12.75" customHeight="1"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</row>
    <row r="92" spans="1:24" ht="12.75" customHeight="1">
      <c r="B92" s="238"/>
      <c r="C92" s="238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</row>
    <row r="93" spans="1:24" ht="12.75" customHeight="1">
      <c r="B93" s="238"/>
      <c r="C93" s="238"/>
      <c r="D93" s="238"/>
      <c r="E93" s="238"/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238"/>
      <c r="Q93" s="238"/>
      <c r="R93" s="238"/>
      <c r="S93" s="238"/>
      <c r="T93" s="238"/>
      <c r="U93" s="238"/>
      <c r="V93" s="238"/>
      <c r="W93" s="238"/>
    </row>
    <row r="94" spans="1:24" ht="12.75" customHeight="1">
      <c r="B94" s="238"/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238"/>
      <c r="Q94" s="238"/>
      <c r="R94" s="238"/>
      <c r="S94" s="238"/>
      <c r="T94" s="238"/>
      <c r="U94" s="238"/>
      <c r="V94" s="238"/>
      <c r="W94" s="238"/>
    </row>
    <row r="95" spans="1:24" ht="12.75" customHeight="1">
      <c r="B95" s="238"/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</row>
    <row r="96" spans="1:24" ht="12.75" customHeight="1"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</row>
    <row r="97" spans="2:23" ht="12.75" customHeight="1">
      <c r="B97" s="238"/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</row>
    <row r="98" spans="2:23" ht="12.75" customHeight="1">
      <c r="B98" s="238"/>
      <c r="C98" s="238"/>
      <c r="D98" s="238"/>
      <c r="E98" s="238"/>
      <c r="F98" s="238"/>
      <c r="G98" s="238"/>
      <c r="H98" s="238"/>
      <c r="I98" s="238"/>
      <c r="J98" s="238"/>
      <c r="K98" s="238"/>
      <c r="L98" s="238"/>
      <c r="M98" s="238"/>
      <c r="N98" s="238"/>
      <c r="O98" s="238"/>
      <c r="P98" s="238"/>
      <c r="Q98" s="238"/>
      <c r="R98" s="238"/>
      <c r="S98" s="238"/>
      <c r="T98" s="238"/>
      <c r="U98" s="238"/>
      <c r="V98" s="238"/>
      <c r="W98" s="238"/>
    </row>
    <row r="99" spans="2:23" ht="12.75" customHeight="1"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238"/>
      <c r="S99" s="238"/>
      <c r="T99" s="238"/>
      <c r="U99" s="238"/>
      <c r="V99" s="238"/>
      <c r="W99" s="238"/>
    </row>
    <row r="100" spans="2:23" ht="12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  <c r="L100" s="238"/>
      <c r="M100" s="238"/>
      <c r="N100" s="238"/>
      <c r="O100" s="238"/>
      <c r="P100" s="238"/>
      <c r="Q100" s="238"/>
      <c r="R100" s="238"/>
      <c r="S100" s="238"/>
      <c r="T100" s="238"/>
      <c r="U100" s="238"/>
      <c r="V100" s="238"/>
      <c r="W100" s="238"/>
    </row>
    <row r="101" spans="2:23" ht="12.75" customHeight="1">
      <c r="B101" s="238"/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38"/>
    </row>
    <row r="102" spans="2:23" ht="12.75" customHeight="1">
      <c r="B102" s="238"/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38"/>
    </row>
    <row r="103" spans="2:23" ht="12.75" customHeight="1">
      <c r="B103" s="238"/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38"/>
    </row>
    <row r="104" spans="2:23" ht="12.75" customHeight="1">
      <c r="B104" s="238"/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38"/>
    </row>
    <row r="105" spans="2:23" ht="12.75" customHeight="1">
      <c r="B105" s="238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</row>
    <row r="106" spans="2:23" ht="12.75" customHeight="1"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38"/>
    </row>
    <row r="107" spans="2:23" ht="12.75" customHeight="1">
      <c r="B107" s="238"/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38"/>
    </row>
    <row r="108" spans="2:23" ht="12.75" customHeight="1"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8"/>
      <c r="Q108" s="238"/>
      <c r="R108" s="238"/>
      <c r="S108" s="238"/>
      <c r="T108" s="238"/>
      <c r="U108" s="238"/>
      <c r="V108" s="238"/>
      <c r="W108" s="238"/>
    </row>
    <row r="109" spans="2:23" ht="12.75" customHeight="1"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8"/>
      <c r="U109" s="238"/>
      <c r="V109" s="238"/>
      <c r="W109" s="238"/>
    </row>
    <row r="110" spans="2:23" ht="12.75" customHeight="1">
      <c r="B110" s="238"/>
      <c r="C110" s="238"/>
      <c r="D110" s="238"/>
      <c r="E110" s="238"/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</row>
    <row r="111" spans="2:23" ht="12.75" customHeight="1">
      <c r="B111" s="238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8"/>
      <c r="Q111" s="238"/>
      <c r="R111" s="238"/>
      <c r="S111" s="238"/>
      <c r="T111" s="238"/>
      <c r="U111" s="238"/>
      <c r="V111" s="238"/>
      <c r="W111" s="238"/>
    </row>
    <row r="112" spans="2:23" ht="12.75" customHeight="1">
      <c r="B112" s="238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38"/>
      <c r="O112" s="238"/>
      <c r="P112" s="238"/>
      <c r="Q112" s="238"/>
      <c r="R112" s="238"/>
      <c r="S112" s="238"/>
      <c r="T112" s="238"/>
      <c r="U112" s="238"/>
      <c r="V112" s="238"/>
      <c r="W112" s="238"/>
    </row>
    <row r="113" spans="2:23" ht="12.75" customHeight="1">
      <c r="B113" s="238"/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8"/>
      <c r="P113" s="238"/>
      <c r="Q113" s="238"/>
      <c r="R113" s="238"/>
      <c r="S113" s="238"/>
      <c r="T113" s="238"/>
      <c r="U113" s="238"/>
      <c r="V113" s="238"/>
      <c r="W113" s="238"/>
    </row>
    <row r="114" spans="2:23" ht="12.75" customHeight="1">
      <c r="B114" s="238"/>
      <c r="C114" s="238"/>
      <c r="D114" s="238"/>
      <c r="E114" s="238"/>
      <c r="F114" s="238"/>
      <c r="G114" s="238"/>
      <c r="H114" s="238"/>
      <c r="I114" s="238"/>
      <c r="J114" s="238"/>
      <c r="K114" s="238"/>
      <c r="L114" s="238"/>
      <c r="M114" s="238"/>
      <c r="N114" s="238"/>
      <c r="O114" s="238"/>
      <c r="P114" s="238"/>
      <c r="Q114" s="238"/>
      <c r="R114" s="238"/>
      <c r="S114" s="238"/>
      <c r="T114" s="238"/>
      <c r="U114" s="238"/>
      <c r="V114" s="238"/>
      <c r="W114" s="238"/>
    </row>
    <row r="115" spans="2:23" ht="12.75" customHeight="1">
      <c r="B115" s="238"/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8"/>
      <c r="P115" s="238"/>
      <c r="Q115" s="238"/>
      <c r="R115" s="238"/>
      <c r="S115" s="238"/>
      <c r="T115" s="238"/>
      <c r="U115" s="238"/>
      <c r="V115" s="238"/>
      <c r="W115" s="238"/>
    </row>
    <row r="116" spans="2:23" ht="12.75" customHeight="1">
      <c r="B116" s="238"/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8"/>
      <c r="P116" s="238"/>
      <c r="Q116" s="238"/>
      <c r="R116" s="238"/>
      <c r="S116" s="238"/>
      <c r="T116" s="238"/>
      <c r="U116" s="238"/>
      <c r="V116" s="238"/>
      <c r="W116" s="238"/>
    </row>
    <row r="117" spans="2:23" ht="12.75" customHeight="1"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8"/>
      <c r="M117" s="238"/>
      <c r="N117" s="238"/>
      <c r="O117" s="238"/>
      <c r="P117" s="238"/>
      <c r="Q117" s="238"/>
      <c r="R117" s="238"/>
      <c r="S117" s="238"/>
      <c r="T117" s="238"/>
      <c r="U117" s="238"/>
      <c r="V117" s="238"/>
      <c r="W117" s="238"/>
    </row>
    <row r="118" spans="2:23" ht="12.75" customHeight="1">
      <c r="B118" s="238"/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</row>
    <row r="119" spans="2:23" ht="12.75" customHeight="1">
      <c r="B119" s="238"/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8"/>
      <c r="P119" s="238"/>
      <c r="Q119" s="238"/>
      <c r="R119" s="238"/>
      <c r="S119" s="238"/>
      <c r="T119" s="238"/>
      <c r="U119" s="238"/>
      <c r="V119" s="238"/>
      <c r="W119" s="238"/>
    </row>
    <row r="120" spans="2:23" ht="12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8"/>
      <c r="P120" s="238"/>
      <c r="Q120" s="238"/>
      <c r="R120" s="238"/>
      <c r="S120" s="238"/>
      <c r="T120" s="238"/>
      <c r="U120" s="238"/>
      <c r="V120" s="238"/>
      <c r="W120" s="238"/>
    </row>
    <row r="121" spans="2:23" ht="12.75" customHeight="1">
      <c r="B121" s="238"/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8"/>
      <c r="P121" s="238"/>
      <c r="Q121" s="238"/>
      <c r="R121" s="238"/>
      <c r="S121" s="238"/>
      <c r="T121" s="238"/>
      <c r="U121" s="238"/>
      <c r="V121" s="238"/>
      <c r="W121" s="238"/>
    </row>
    <row r="122" spans="2:23" ht="12.75" customHeight="1">
      <c r="B122" s="238"/>
      <c r="C122" s="238"/>
      <c r="D122" s="238"/>
      <c r="E122" s="238"/>
      <c r="F122" s="238"/>
      <c r="G122" s="238"/>
      <c r="H122" s="238"/>
      <c r="I122" s="238"/>
      <c r="J122" s="238"/>
      <c r="K122" s="238"/>
      <c r="L122" s="238"/>
      <c r="M122" s="238"/>
      <c r="N122" s="238"/>
      <c r="O122" s="238"/>
      <c r="P122" s="238"/>
      <c r="Q122" s="238"/>
      <c r="R122" s="238"/>
      <c r="S122" s="238"/>
      <c r="T122" s="238"/>
      <c r="U122" s="238"/>
      <c r="V122" s="238"/>
      <c r="W122" s="238"/>
    </row>
    <row r="123" spans="2:23" ht="12.75" customHeight="1">
      <c r="B123" s="238"/>
      <c r="C123" s="238"/>
      <c r="D123" s="238"/>
      <c r="E123" s="238"/>
      <c r="F123" s="238"/>
      <c r="G123" s="238"/>
      <c r="H123" s="238"/>
      <c r="I123" s="238"/>
      <c r="J123" s="238"/>
      <c r="K123" s="238"/>
      <c r="L123" s="238"/>
      <c r="M123" s="238"/>
      <c r="N123" s="238"/>
      <c r="O123" s="238"/>
      <c r="P123" s="238"/>
      <c r="Q123" s="238"/>
      <c r="R123" s="238"/>
      <c r="S123" s="238"/>
      <c r="T123" s="238"/>
      <c r="U123" s="238"/>
      <c r="V123" s="238"/>
      <c r="W123" s="238"/>
    </row>
    <row r="124" spans="2:23" ht="12.75" customHeight="1">
      <c r="B124" s="238"/>
      <c r="C124" s="238"/>
      <c r="D124" s="238"/>
      <c r="E124" s="238"/>
      <c r="F124" s="238"/>
      <c r="G124" s="238"/>
      <c r="H124" s="238"/>
      <c r="I124" s="238"/>
      <c r="J124" s="238"/>
      <c r="K124" s="238"/>
      <c r="L124" s="238"/>
      <c r="M124" s="238"/>
      <c r="N124" s="238"/>
      <c r="O124" s="238"/>
      <c r="P124" s="238"/>
      <c r="Q124" s="238"/>
      <c r="R124" s="238"/>
      <c r="S124" s="238"/>
      <c r="T124" s="238"/>
      <c r="U124" s="238"/>
      <c r="V124" s="238"/>
      <c r="W124" s="238"/>
    </row>
    <row r="125" spans="2:23" ht="12.75" customHeight="1">
      <c r="B125" s="238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</row>
    <row r="126" spans="2:23" ht="12.75" customHeight="1">
      <c r="B126" s="238"/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</row>
    <row r="127" spans="2:23" ht="12.75" customHeight="1">
      <c r="B127" s="238"/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8"/>
      <c r="P127" s="238"/>
      <c r="Q127" s="238"/>
      <c r="R127" s="238"/>
      <c r="S127" s="238"/>
      <c r="T127" s="238"/>
      <c r="U127" s="238"/>
      <c r="V127" s="238"/>
      <c r="W127" s="238"/>
    </row>
    <row r="128" spans="2:23" ht="12.75" customHeight="1">
      <c r="B128" s="238"/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8"/>
      <c r="P128" s="238"/>
      <c r="Q128" s="238"/>
      <c r="R128" s="238"/>
      <c r="S128" s="238"/>
      <c r="T128" s="238"/>
      <c r="U128" s="238"/>
      <c r="V128" s="238"/>
      <c r="W128" s="238"/>
    </row>
    <row r="129" spans="2:23" ht="12.75" customHeight="1">
      <c r="B129" s="238"/>
      <c r="C129" s="238"/>
      <c r="D129" s="238"/>
      <c r="E129" s="238"/>
      <c r="F129" s="238"/>
      <c r="G129" s="238"/>
      <c r="H129" s="238"/>
      <c r="I129" s="238"/>
      <c r="J129" s="238"/>
      <c r="K129" s="238"/>
      <c r="L129" s="238"/>
      <c r="M129" s="238"/>
      <c r="N129" s="238"/>
      <c r="O129" s="238"/>
      <c r="P129" s="238"/>
      <c r="Q129" s="238"/>
      <c r="R129" s="238"/>
      <c r="S129" s="238"/>
      <c r="T129" s="238"/>
      <c r="U129" s="238"/>
      <c r="V129" s="238"/>
      <c r="W129" s="238"/>
    </row>
    <row r="130" spans="2:23" ht="12.75" customHeight="1">
      <c r="B130" s="238"/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8"/>
      <c r="P130" s="238"/>
      <c r="Q130" s="238"/>
      <c r="R130" s="238"/>
      <c r="S130" s="238"/>
      <c r="T130" s="238"/>
      <c r="U130" s="238"/>
      <c r="V130" s="238"/>
      <c r="W130" s="238"/>
    </row>
    <row r="131" spans="2:23" ht="12.75" customHeight="1">
      <c r="B131" s="238"/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8"/>
      <c r="P131" s="238"/>
      <c r="Q131" s="238"/>
      <c r="R131" s="238"/>
      <c r="S131" s="238"/>
      <c r="T131" s="238"/>
      <c r="U131" s="238"/>
      <c r="V131" s="238"/>
      <c r="W131" s="238"/>
    </row>
    <row r="132" spans="2:23" ht="12.75" customHeight="1">
      <c r="B132" s="238"/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8"/>
      <c r="P132" s="238"/>
      <c r="Q132" s="238"/>
      <c r="R132" s="238"/>
      <c r="S132" s="238"/>
      <c r="T132" s="238"/>
      <c r="U132" s="238"/>
      <c r="V132" s="238"/>
      <c r="W132" s="238"/>
    </row>
    <row r="133" spans="2:23" ht="12.75" customHeight="1">
      <c r="B133" s="238"/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238"/>
      <c r="N133" s="238"/>
      <c r="O133" s="238"/>
      <c r="P133" s="238"/>
      <c r="Q133" s="238"/>
      <c r="R133" s="238"/>
      <c r="S133" s="238"/>
      <c r="T133" s="238"/>
      <c r="U133" s="238"/>
      <c r="V133" s="238"/>
      <c r="W133" s="238"/>
    </row>
    <row r="134" spans="2:23" ht="12.75" customHeight="1"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</row>
    <row r="135" spans="2:23" ht="12.75" customHeight="1">
      <c r="B135" s="238"/>
      <c r="C135" s="238"/>
      <c r="D135" s="238"/>
      <c r="E135" s="238"/>
      <c r="F135" s="238"/>
      <c r="G135" s="238"/>
      <c r="H135" s="238"/>
      <c r="I135" s="238"/>
      <c r="J135" s="238"/>
      <c r="K135" s="238"/>
      <c r="L135" s="238"/>
      <c r="M135" s="238"/>
      <c r="N135" s="238"/>
      <c r="O135" s="238"/>
      <c r="P135" s="238"/>
      <c r="Q135" s="238"/>
      <c r="R135" s="238"/>
      <c r="S135" s="238"/>
      <c r="T135" s="238"/>
      <c r="U135" s="238"/>
      <c r="V135" s="238"/>
      <c r="W135" s="238"/>
    </row>
    <row r="136" spans="2:23" ht="12.75" customHeight="1">
      <c r="B136" s="238"/>
      <c r="C136" s="238"/>
      <c r="D136" s="238"/>
      <c r="E136" s="238"/>
      <c r="F136" s="238"/>
      <c r="G136" s="238"/>
      <c r="H136" s="238"/>
      <c r="I136" s="238"/>
      <c r="J136" s="238"/>
      <c r="K136" s="238"/>
      <c r="L136" s="238"/>
      <c r="M136" s="238"/>
      <c r="N136" s="238"/>
      <c r="O136" s="238"/>
      <c r="P136" s="238"/>
      <c r="Q136" s="238"/>
      <c r="R136" s="238"/>
      <c r="S136" s="238"/>
      <c r="T136" s="238"/>
      <c r="U136" s="238"/>
      <c r="V136" s="238"/>
      <c r="W136" s="238"/>
    </row>
    <row r="137" spans="2:23" ht="12.75" customHeight="1">
      <c r="B137" s="238"/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  <c r="M137" s="238"/>
      <c r="N137" s="238"/>
      <c r="O137" s="238"/>
      <c r="P137" s="238"/>
      <c r="Q137" s="238"/>
      <c r="R137" s="238"/>
      <c r="S137" s="238"/>
      <c r="T137" s="238"/>
      <c r="U137" s="238"/>
      <c r="V137" s="238"/>
      <c r="W137" s="238"/>
    </row>
    <row r="138" spans="2:23" ht="12.75" customHeight="1">
      <c r="B138" s="238"/>
      <c r="C138" s="238"/>
      <c r="D138" s="238"/>
      <c r="E138" s="238"/>
      <c r="F138" s="238"/>
      <c r="G138" s="238"/>
      <c r="H138" s="238"/>
      <c r="I138" s="238"/>
      <c r="J138" s="238"/>
      <c r="K138" s="238"/>
      <c r="L138" s="238"/>
      <c r="M138" s="238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</row>
    <row r="139" spans="2:23" ht="12.75" customHeight="1"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</row>
    <row r="140" spans="2:23" ht="12.75" customHeight="1">
      <c r="B140" s="238"/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  <c r="M140" s="238"/>
      <c r="N140" s="238"/>
      <c r="O140" s="238"/>
      <c r="P140" s="238"/>
      <c r="Q140" s="238"/>
      <c r="R140" s="238"/>
      <c r="S140" s="238"/>
      <c r="T140" s="238"/>
      <c r="U140" s="238"/>
      <c r="V140" s="238"/>
      <c r="W140" s="238"/>
    </row>
    <row r="141" spans="2:23" ht="12.75" customHeight="1">
      <c r="B141" s="238"/>
      <c r="C141" s="238"/>
      <c r="D141" s="238"/>
      <c r="E141" s="238"/>
      <c r="F141" s="238"/>
      <c r="G141" s="238"/>
      <c r="H141" s="238"/>
      <c r="I141" s="238"/>
      <c r="J141" s="238"/>
      <c r="K141" s="238"/>
      <c r="L141" s="238"/>
      <c r="M141" s="238"/>
      <c r="N141" s="238"/>
      <c r="O141" s="238"/>
      <c r="P141" s="238"/>
      <c r="Q141" s="238"/>
      <c r="R141" s="238"/>
      <c r="S141" s="238"/>
      <c r="T141" s="238"/>
      <c r="U141" s="238"/>
      <c r="V141" s="238"/>
      <c r="W141" s="238"/>
    </row>
    <row r="142" spans="2:23" ht="12.75" customHeight="1">
      <c r="B142" s="238"/>
      <c r="C142" s="238"/>
      <c r="D142" s="238"/>
      <c r="E142" s="238"/>
      <c r="F142" s="238"/>
      <c r="G142" s="238"/>
      <c r="H142" s="238"/>
      <c r="I142" s="238"/>
      <c r="J142" s="238"/>
      <c r="K142" s="238"/>
      <c r="L142" s="238"/>
      <c r="M142" s="238"/>
      <c r="N142" s="238"/>
      <c r="O142" s="238"/>
      <c r="P142" s="238"/>
      <c r="Q142" s="238"/>
      <c r="R142" s="238"/>
      <c r="S142" s="238"/>
      <c r="T142" s="238"/>
      <c r="U142" s="238"/>
      <c r="V142" s="238"/>
      <c r="W142" s="238"/>
    </row>
    <row r="143" spans="2:23" ht="12.75" customHeight="1">
      <c r="B143" s="238"/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  <c r="M143" s="238"/>
      <c r="N143" s="238"/>
      <c r="O143" s="238"/>
      <c r="P143" s="238"/>
      <c r="Q143" s="238"/>
      <c r="R143" s="238"/>
      <c r="S143" s="238"/>
      <c r="T143" s="238"/>
      <c r="U143" s="238"/>
      <c r="V143" s="238"/>
      <c r="W143" s="238"/>
    </row>
    <row r="144" spans="2:23" ht="12.75" customHeight="1">
      <c r="B144" s="238"/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  <c r="M144" s="238"/>
      <c r="N144" s="238"/>
      <c r="O144" s="238"/>
      <c r="P144" s="238"/>
      <c r="Q144" s="238"/>
      <c r="R144" s="238"/>
      <c r="S144" s="238"/>
      <c r="T144" s="238"/>
      <c r="U144" s="238"/>
      <c r="V144" s="238"/>
      <c r="W144" s="238"/>
    </row>
    <row r="145" spans="2:23" ht="12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  <c r="L145" s="238"/>
      <c r="M145" s="238"/>
      <c r="N145" s="238"/>
      <c r="O145" s="238"/>
      <c r="P145" s="238"/>
      <c r="Q145" s="238"/>
      <c r="R145" s="238"/>
      <c r="S145" s="238"/>
      <c r="T145" s="238"/>
      <c r="U145" s="238"/>
      <c r="V145" s="238"/>
      <c r="W145" s="238"/>
    </row>
    <row r="146" spans="2:23" ht="12.75" customHeight="1">
      <c r="B146" s="238"/>
      <c r="C146" s="238"/>
      <c r="D146" s="238"/>
      <c r="E146" s="238"/>
      <c r="F146" s="238"/>
      <c r="G146" s="238"/>
      <c r="H146" s="238"/>
      <c r="I146" s="238"/>
      <c r="J146" s="238"/>
      <c r="K146" s="238"/>
      <c r="L146" s="238"/>
      <c r="M146" s="238"/>
      <c r="N146" s="238"/>
      <c r="O146" s="238"/>
      <c r="P146" s="238"/>
      <c r="Q146" s="238"/>
      <c r="R146" s="238"/>
      <c r="S146" s="238"/>
      <c r="T146" s="238"/>
      <c r="U146" s="238"/>
      <c r="V146" s="238"/>
      <c r="W146" s="238"/>
    </row>
    <row r="147" spans="2:23" ht="12.75" customHeight="1">
      <c r="B147" s="238"/>
      <c r="C147" s="238"/>
      <c r="D147" s="238"/>
      <c r="E147" s="238"/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8"/>
      <c r="S147" s="238"/>
      <c r="T147" s="238"/>
      <c r="U147" s="238"/>
      <c r="V147" s="238"/>
      <c r="W147" s="238"/>
    </row>
    <row r="148" spans="2:23" ht="12.75" customHeight="1">
      <c r="B148" s="238"/>
      <c r="C148" s="238"/>
      <c r="D148" s="238"/>
      <c r="E148" s="238"/>
      <c r="F148" s="238"/>
      <c r="G148" s="238"/>
      <c r="H148" s="238"/>
      <c r="I148" s="238"/>
      <c r="J148" s="238"/>
      <c r="K148" s="238"/>
      <c r="L148" s="238"/>
      <c r="M148" s="238"/>
      <c r="N148" s="238"/>
      <c r="O148" s="238"/>
      <c r="P148" s="238"/>
      <c r="Q148" s="238"/>
      <c r="R148" s="238"/>
      <c r="S148" s="238"/>
      <c r="T148" s="238"/>
      <c r="U148" s="238"/>
      <c r="V148" s="238"/>
      <c r="W148" s="238"/>
    </row>
    <row r="149" spans="2:23" ht="12.75" customHeight="1">
      <c r="B149" s="238"/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  <c r="M149" s="238"/>
      <c r="N149" s="238"/>
      <c r="O149" s="238"/>
      <c r="P149" s="238"/>
      <c r="Q149" s="238"/>
      <c r="R149" s="238"/>
      <c r="S149" s="238"/>
      <c r="T149" s="238"/>
      <c r="U149" s="238"/>
      <c r="V149" s="238"/>
      <c r="W149" s="238"/>
    </row>
    <row r="150" spans="2:23" ht="12.75" customHeight="1">
      <c r="B150" s="238"/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  <c r="M150" s="238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</row>
    <row r="151" spans="2:23" ht="12.75" customHeight="1"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8"/>
      <c r="U151" s="238"/>
      <c r="V151" s="238"/>
      <c r="W151" s="238"/>
    </row>
    <row r="152" spans="2:23" ht="12.75" customHeight="1">
      <c r="B152" s="238"/>
      <c r="C152" s="238"/>
      <c r="D152" s="238"/>
      <c r="E152" s="238"/>
      <c r="F152" s="238"/>
      <c r="G152" s="238"/>
      <c r="H152" s="238"/>
      <c r="I152" s="238"/>
      <c r="J152" s="238"/>
      <c r="K152" s="238"/>
      <c r="L152" s="238"/>
      <c r="M152" s="238"/>
      <c r="N152" s="238"/>
      <c r="O152" s="238"/>
      <c r="P152" s="238"/>
      <c r="Q152" s="238"/>
      <c r="R152" s="238"/>
      <c r="S152" s="238"/>
      <c r="T152" s="238"/>
      <c r="U152" s="238"/>
      <c r="V152" s="238"/>
      <c r="W152" s="238"/>
    </row>
    <row r="153" spans="2:23" ht="12.75" customHeight="1">
      <c r="B153" s="238"/>
      <c r="C153" s="238"/>
      <c r="D153" s="238"/>
      <c r="E153" s="238"/>
      <c r="F153" s="238"/>
      <c r="G153" s="238"/>
      <c r="H153" s="238"/>
      <c r="I153" s="238"/>
      <c r="J153" s="238"/>
      <c r="K153" s="238"/>
      <c r="L153" s="238"/>
      <c r="M153" s="238"/>
      <c r="N153" s="238"/>
      <c r="O153" s="238"/>
      <c r="P153" s="238"/>
      <c r="Q153" s="238"/>
      <c r="R153" s="238"/>
      <c r="S153" s="238"/>
      <c r="T153" s="238"/>
      <c r="U153" s="238"/>
      <c r="V153" s="238"/>
      <c r="W153" s="238"/>
    </row>
    <row r="154" spans="2:23" ht="12.75" customHeight="1">
      <c r="B154" s="238"/>
      <c r="C154" s="238"/>
      <c r="D154" s="238"/>
      <c r="E154" s="238"/>
      <c r="F154" s="238"/>
      <c r="G154" s="238"/>
      <c r="H154" s="238"/>
      <c r="I154" s="238"/>
      <c r="J154" s="238"/>
      <c r="K154" s="238"/>
      <c r="L154" s="238"/>
      <c r="M154" s="238"/>
      <c r="N154" s="238"/>
      <c r="O154" s="238"/>
      <c r="P154" s="238"/>
      <c r="Q154" s="238"/>
      <c r="R154" s="238"/>
      <c r="S154" s="238"/>
      <c r="T154" s="238"/>
      <c r="U154" s="238"/>
      <c r="V154" s="238"/>
      <c r="W154" s="238"/>
    </row>
    <row r="155" spans="2:23" ht="12.75" customHeight="1">
      <c r="B155" s="238"/>
      <c r="C155" s="238"/>
      <c r="D155" s="238"/>
      <c r="E155" s="238"/>
      <c r="F155" s="238"/>
      <c r="G155" s="238"/>
      <c r="H155" s="238"/>
      <c r="I155" s="238"/>
      <c r="J155" s="238"/>
      <c r="K155" s="238"/>
      <c r="L155" s="238"/>
      <c r="M155" s="238"/>
      <c r="N155" s="238"/>
      <c r="O155" s="238"/>
      <c r="P155" s="238"/>
      <c r="Q155" s="238"/>
      <c r="R155" s="238"/>
      <c r="S155" s="238"/>
      <c r="T155" s="238"/>
      <c r="U155" s="238"/>
      <c r="V155" s="238"/>
      <c r="W155" s="238"/>
    </row>
    <row r="156" spans="2:23" ht="12.75" customHeight="1">
      <c r="B156" s="238"/>
      <c r="C156" s="238"/>
      <c r="D156" s="238"/>
      <c r="E156" s="238"/>
      <c r="F156" s="238"/>
      <c r="G156" s="238"/>
      <c r="H156" s="238"/>
      <c r="I156" s="238"/>
      <c r="J156" s="238"/>
      <c r="K156" s="238"/>
      <c r="L156" s="238"/>
      <c r="M156" s="238"/>
      <c r="N156" s="238"/>
      <c r="O156" s="238"/>
      <c r="P156" s="238"/>
      <c r="Q156" s="238"/>
      <c r="R156" s="238"/>
      <c r="S156" s="238"/>
      <c r="T156" s="238"/>
      <c r="U156" s="238"/>
      <c r="V156" s="238"/>
      <c r="W156" s="238"/>
    </row>
    <row r="157" spans="2:23" ht="12.75" customHeight="1">
      <c r="B157" s="238"/>
      <c r="C157" s="238"/>
      <c r="D157" s="238"/>
      <c r="E157" s="238"/>
      <c r="F157" s="238"/>
      <c r="G157" s="238"/>
      <c r="H157" s="238"/>
      <c r="I157" s="238"/>
      <c r="J157" s="238"/>
      <c r="K157" s="238"/>
      <c r="L157" s="238"/>
      <c r="M157" s="238"/>
      <c r="N157" s="238"/>
      <c r="O157" s="238"/>
      <c r="P157" s="238"/>
      <c r="Q157" s="238"/>
      <c r="R157" s="238"/>
      <c r="S157" s="238"/>
      <c r="T157" s="238"/>
      <c r="U157" s="238"/>
      <c r="V157" s="238"/>
      <c r="W157" s="238"/>
    </row>
    <row r="158" spans="2:23" ht="12.75" customHeight="1">
      <c r="B158" s="238"/>
      <c r="C158" s="238"/>
      <c r="D158" s="238"/>
      <c r="E158" s="238"/>
      <c r="F158" s="238"/>
      <c r="G158" s="238"/>
      <c r="H158" s="238"/>
      <c r="I158" s="238"/>
      <c r="J158" s="238"/>
      <c r="K158" s="238"/>
      <c r="L158" s="238"/>
      <c r="M158" s="238"/>
      <c r="N158" s="238"/>
      <c r="O158" s="238"/>
      <c r="P158" s="238"/>
      <c r="Q158" s="238"/>
      <c r="R158" s="238"/>
      <c r="S158" s="238"/>
      <c r="T158" s="238"/>
      <c r="U158" s="238"/>
      <c r="V158" s="238"/>
      <c r="W158" s="238"/>
    </row>
    <row r="159" spans="2:23" ht="12.75" customHeight="1">
      <c r="B159" s="238"/>
      <c r="C159" s="238"/>
      <c r="D159" s="238"/>
      <c r="E159" s="238"/>
      <c r="F159" s="238"/>
      <c r="G159" s="238"/>
      <c r="H159" s="238"/>
      <c r="I159" s="238"/>
      <c r="J159" s="238"/>
      <c r="K159" s="238"/>
      <c r="L159" s="238"/>
      <c r="M159" s="238"/>
      <c r="N159" s="238"/>
      <c r="O159" s="238"/>
      <c r="P159" s="238"/>
      <c r="Q159" s="238"/>
      <c r="R159" s="238"/>
      <c r="S159" s="238"/>
      <c r="T159" s="238"/>
      <c r="U159" s="238"/>
      <c r="V159" s="238"/>
      <c r="W159" s="238"/>
    </row>
    <row r="160" spans="2:23" ht="12.75" customHeight="1">
      <c r="B160" s="238"/>
      <c r="C160" s="238"/>
      <c r="D160" s="238"/>
      <c r="E160" s="238"/>
      <c r="F160" s="238"/>
      <c r="G160" s="238"/>
      <c r="H160" s="238"/>
      <c r="I160" s="238"/>
      <c r="J160" s="238"/>
      <c r="K160" s="238"/>
      <c r="L160" s="238"/>
      <c r="M160" s="238"/>
      <c r="N160" s="238"/>
      <c r="O160" s="238"/>
      <c r="P160" s="238"/>
      <c r="Q160" s="238"/>
      <c r="R160" s="238"/>
      <c r="S160" s="238"/>
      <c r="T160" s="238"/>
      <c r="U160" s="238"/>
      <c r="V160" s="238"/>
      <c r="W160" s="238"/>
    </row>
    <row r="161" spans="2:23" ht="12.75" customHeight="1">
      <c r="B161" s="238"/>
      <c r="C161" s="238"/>
      <c r="D161" s="238"/>
      <c r="E161" s="238"/>
      <c r="F161" s="238"/>
      <c r="G161" s="238"/>
      <c r="H161" s="238"/>
      <c r="I161" s="238"/>
      <c r="J161" s="238"/>
      <c r="K161" s="238"/>
      <c r="L161" s="238"/>
      <c r="M161" s="238"/>
      <c r="N161" s="238"/>
      <c r="O161" s="238"/>
      <c r="P161" s="238"/>
      <c r="Q161" s="238"/>
      <c r="R161" s="238"/>
      <c r="S161" s="238"/>
      <c r="T161" s="238"/>
      <c r="U161" s="238"/>
      <c r="V161" s="238"/>
      <c r="W161" s="238"/>
    </row>
    <row r="162" spans="2:23" ht="12.75" customHeight="1">
      <c r="B162" s="238"/>
      <c r="C162" s="238"/>
      <c r="D162" s="238"/>
      <c r="E162" s="238"/>
      <c r="F162" s="238"/>
      <c r="G162" s="238"/>
      <c r="H162" s="238"/>
      <c r="I162" s="238"/>
      <c r="J162" s="238"/>
      <c r="K162" s="238"/>
      <c r="L162" s="238"/>
      <c r="M162" s="238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</row>
    <row r="163" spans="2:23" ht="12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  <c r="L163" s="238"/>
      <c r="M163" s="238"/>
      <c r="N163" s="238"/>
      <c r="O163" s="238"/>
      <c r="P163" s="238"/>
      <c r="Q163" s="238"/>
      <c r="R163" s="238"/>
      <c r="S163" s="238"/>
      <c r="T163" s="238"/>
      <c r="U163" s="238"/>
      <c r="V163" s="238"/>
      <c r="W163" s="238"/>
    </row>
    <row r="164" spans="2:23" ht="12.75" customHeight="1">
      <c r="B164" s="238"/>
      <c r="C164" s="238"/>
      <c r="D164" s="238"/>
      <c r="E164" s="238"/>
      <c r="F164" s="238"/>
      <c r="G164" s="238"/>
      <c r="H164" s="238"/>
      <c r="I164" s="238"/>
      <c r="J164" s="238"/>
      <c r="K164" s="238"/>
      <c r="L164" s="238"/>
      <c r="M164" s="238"/>
      <c r="N164" s="238"/>
      <c r="O164" s="238"/>
      <c r="P164" s="238"/>
      <c r="Q164" s="238"/>
      <c r="R164" s="238"/>
      <c r="S164" s="238"/>
      <c r="T164" s="238"/>
      <c r="U164" s="238"/>
      <c r="V164" s="238"/>
      <c r="W164" s="238"/>
    </row>
    <row r="165" spans="2:23" ht="12.75" customHeight="1">
      <c r="B165" s="238"/>
      <c r="C165" s="238"/>
      <c r="D165" s="238"/>
      <c r="E165" s="238"/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8"/>
      <c r="U165" s="238"/>
      <c r="V165" s="238"/>
      <c r="W165" s="238"/>
    </row>
    <row r="166" spans="2:23" ht="12.75" customHeight="1">
      <c r="B166" s="238"/>
      <c r="C166" s="238"/>
      <c r="D166" s="238"/>
      <c r="E166" s="238"/>
      <c r="F166" s="238"/>
      <c r="G166" s="238"/>
      <c r="H166" s="238"/>
      <c r="I166" s="238"/>
      <c r="J166" s="238"/>
      <c r="K166" s="238"/>
      <c r="L166" s="238"/>
      <c r="M166" s="238"/>
      <c r="N166" s="238"/>
      <c r="O166" s="238"/>
      <c r="P166" s="238"/>
      <c r="Q166" s="238"/>
      <c r="R166" s="238"/>
      <c r="S166" s="238"/>
      <c r="T166" s="238"/>
      <c r="U166" s="238"/>
      <c r="V166" s="238"/>
      <c r="W166" s="238"/>
    </row>
    <row r="167" spans="2:23" ht="12.75" customHeight="1"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8"/>
      <c r="U167" s="238"/>
      <c r="V167" s="238"/>
      <c r="W167" s="238"/>
    </row>
    <row r="168" spans="2:23" ht="12.75" customHeight="1">
      <c r="B168" s="238"/>
      <c r="C168" s="238"/>
      <c r="D168" s="238"/>
      <c r="E168" s="238"/>
      <c r="F168" s="238"/>
      <c r="G168" s="238"/>
      <c r="H168" s="238"/>
      <c r="I168" s="238"/>
      <c r="J168" s="238"/>
      <c r="K168" s="238"/>
      <c r="L168" s="238"/>
      <c r="M168" s="238"/>
      <c r="N168" s="238"/>
      <c r="O168" s="238"/>
      <c r="P168" s="238"/>
      <c r="Q168" s="238"/>
      <c r="R168" s="238"/>
      <c r="S168" s="238"/>
      <c r="T168" s="238"/>
      <c r="U168" s="238"/>
      <c r="V168" s="238"/>
      <c r="W168" s="238"/>
    </row>
    <row r="169" spans="2:23" ht="12.75" customHeight="1">
      <c r="B169" s="238"/>
      <c r="C169" s="238"/>
      <c r="D169" s="238"/>
      <c r="E169" s="238"/>
      <c r="F169" s="238"/>
      <c r="G169" s="238"/>
      <c r="H169" s="238"/>
      <c r="I169" s="238"/>
      <c r="J169" s="238"/>
      <c r="K169" s="238"/>
      <c r="L169" s="238"/>
      <c r="M169" s="238"/>
      <c r="N169" s="238"/>
      <c r="O169" s="238"/>
      <c r="P169" s="238"/>
      <c r="Q169" s="238"/>
      <c r="R169" s="238"/>
      <c r="S169" s="238"/>
      <c r="T169" s="238"/>
      <c r="U169" s="238"/>
      <c r="V169" s="238"/>
      <c r="W169" s="238"/>
    </row>
    <row r="170" spans="2:23" ht="12.75" customHeight="1">
      <c r="B170" s="238"/>
      <c r="C170" s="238"/>
      <c r="D170" s="238"/>
      <c r="E170" s="238"/>
      <c r="F170" s="238"/>
      <c r="G170" s="238"/>
      <c r="H170" s="238"/>
      <c r="I170" s="238"/>
      <c r="J170" s="238"/>
      <c r="K170" s="238"/>
      <c r="L170" s="238"/>
      <c r="M170" s="238"/>
      <c r="N170" s="238"/>
      <c r="O170" s="238"/>
      <c r="P170" s="238"/>
      <c r="Q170" s="238"/>
      <c r="R170" s="238"/>
      <c r="S170" s="238"/>
      <c r="T170" s="238"/>
      <c r="U170" s="238"/>
      <c r="V170" s="238"/>
      <c r="W170" s="238"/>
    </row>
    <row r="171" spans="2:23" ht="12.75" customHeight="1">
      <c r="B171" s="238"/>
      <c r="C171" s="238"/>
      <c r="D171" s="238"/>
      <c r="E171" s="238"/>
      <c r="F171" s="238"/>
      <c r="G171" s="238"/>
      <c r="H171" s="238"/>
      <c r="I171" s="238"/>
      <c r="J171" s="238"/>
      <c r="K171" s="238"/>
      <c r="L171" s="238"/>
      <c r="M171" s="238"/>
      <c r="N171" s="238"/>
      <c r="O171" s="238"/>
      <c r="P171" s="238"/>
      <c r="Q171" s="238"/>
      <c r="R171" s="238"/>
      <c r="S171" s="238"/>
      <c r="T171" s="238"/>
      <c r="U171" s="238"/>
      <c r="V171" s="238"/>
      <c r="W171" s="238"/>
    </row>
    <row r="172" spans="2:23" ht="12.75" customHeight="1">
      <c r="B172" s="238"/>
      <c r="C172" s="238"/>
      <c r="D172" s="238"/>
      <c r="E172" s="238"/>
      <c r="F172" s="238"/>
      <c r="G172" s="238"/>
      <c r="H172" s="238"/>
      <c r="I172" s="238"/>
      <c r="J172" s="238"/>
      <c r="K172" s="238"/>
      <c r="L172" s="238"/>
      <c r="M172" s="238"/>
      <c r="N172" s="238"/>
      <c r="O172" s="238"/>
      <c r="P172" s="238"/>
      <c r="Q172" s="238"/>
      <c r="R172" s="238"/>
      <c r="S172" s="238"/>
      <c r="T172" s="238"/>
      <c r="U172" s="238"/>
      <c r="V172" s="238"/>
      <c r="W172" s="238"/>
    </row>
    <row r="173" spans="2:23" ht="12.75" customHeight="1">
      <c r="B173" s="238"/>
      <c r="C173" s="238"/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  <c r="O173" s="238"/>
      <c r="P173" s="238"/>
      <c r="Q173" s="238"/>
      <c r="R173" s="238"/>
      <c r="S173" s="238"/>
      <c r="T173" s="238"/>
      <c r="U173" s="238"/>
      <c r="V173" s="238"/>
      <c r="W173" s="238"/>
    </row>
    <row r="174" spans="2:23" ht="12.75" customHeight="1">
      <c r="B174" s="238"/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  <c r="O174" s="238"/>
      <c r="P174" s="238"/>
      <c r="Q174" s="238"/>
      <c r="R174" s="238"/>
      <c r="S174" s="238"/>
      <c r="T174" s="238"/>
      <c r="U174" s="238"/>
      <c r="V174" s="238"/>
      <c r="W174" s="238"/>
    </row>
    <row r="175" spans="2:23" ht="12.75" customHeight="1">
      <c r="B175" s="238"/>
      <c r="C175" s="238"/>
      <c r="D175" s="238"/>
      <c r="E175" s="238"/>
      <c r="F175" s="238"/>
      <c r="G175" s="238"/>
      <c r="H175" s="238"/>
      <c r="I175" s="238"/>
      <c r="J175" s="238"/>
      <c r="K175" s="238"/>
      <c r="L175" s="238"/>
      <c r="M175" s="238"/>
      <c r="N175" s="238"/>
      <c r="O175" s="238"/>
      <c r="P175" s="238"/>
      <c r="Q175" s="238"/>
      <c r="R175" s="238"/>
      <c r="S175" s="238"/>
      <c r="T175" s="238"/>
      <c r="U175" s="238"/>
      <c r="V175" s="238"/>
      <c r="W175" s="238"/>
    </row>
    <row r="176" spans="2:23" ht="12.75" customHeight="1">
      <c r="B176" s="238"/>
      <c r="C176" s="238"/>
      <c r="D176" s="238"/>
      <c r="E176" s="238"/>
      <c r="F176" s="238"/>
      <c r="G176" s="238"/>
      <c r="H176" s="238"/>
      <c r="I176" s="238"/>
      <c r="J176" s="238"/>
      <c r="K176" s="238"/>
      <c r="L176" s="238"/>
      <c r="M176" s="238"/>
      <c r="N176" s="238"/>
      <c r="O176" s="238"/>
      <c r="P176" s="238"/>
      <c r="Q176" s="238"/>
      <c r="R176" s="238"/>
      <c r="S176" s="238"/>
      <c r="T176" s="238"/>
      <c r="U176" s="238"/>
      <c r="V176" s="238"/>
      <c r="W176" s="238"/>
    </row>
    <row r="177" spans="2:23" ht="12.75" customHeight="1">
      <c r="B177" s="238"/>
      <c r="C177" s="238"/>
      <c r="D177" s="238"/>
      <c r="E177" s="238"/>
      <c r="F177" s="238"/>
      <c r="G177" s="238"/>
      <c r="H177" s="238"/>
      <c r="I177" s="238"/>
      <c r="J177" s="238"/>
      <c r="K177" s="238"/>
      <c r="L177" s="238"/>
      <c r="M177" s="238"/>
      <c r="N177" s="238"/>
      <c r="O177" s="238"/>
      <c r="P177" s="238"/>
      <c r="Q177" s="238"/>
      <c r="R177" s="238"/>
      <c r="S177" s="238"/>
      <c r="T177" s="238"/>
      <c r="U177" s="238"/>
      <c r="V177" s="238"/>
      <c r="W177" s="238"/>
    </row>
    <row r="178" spans="2:23" ht="12.75" customHeight="1">
      <c r="B178" s="238"/>
      <c r="C178" s="238"/>
      <c r="D178" s="238"/>
      <c r="E178" s="238"/>
      <c r="F178" s="238"/>
      <c r="G178" s="238"/>
      <c r="H178" s="238"/>
      <c r="I178" s="238"/>
      <c r="J178" s="238"/>
      <c r="K178" s="238"/>
      <c r="L178" s="238"/>
      <c r="M178" s="238"/>
      <c r="N178" s="238"/>
      <c r="O178" s="238"/>
      <c r="P178" s="238"/>
      <c r="Q178" s="238"/>
      <c r="R178" s="238"/>
      <c r="S178" s="238"/>
      <c r="T178" s="238"/>
      <c r="U178" s="238"/>
      <c r="V178" s="238"/>
      <c r="W178" s="238"/>
    </row>
    <row r="179" spans="2:23" ht="12.75" customHeight="1">
      <c r="B179" s="238"/>
      <c r="C179" s="238"/>
      <c r="D179" s="238"/>
      <c r="E179" s="238"/>
      <c r="F179" s="238"/>
      <c r="G179" s="238"/>
      <c r="H179" s="238"/>
      <c r="I179" s="238"/>
      <c r="J179" s="238"/>
      <c r="K179" s="238"/>
      <c r="L179" s="238"/>
      <c r="M179" s="238"/>
      <c r="N179" s="238"/>
      <c r="O179" s="238"/>
      <c r="P179" s="238"/>
      <c r="Q179" s="238"/>
      <c r="R179" s="238"/>
      <c r="S179" s="238"/>
      <c r="T179" s="238"/>
      <c r="U179" s="238"/>
      <c r="V179" s="238"/>
      <c r="W179" s="238"/>
    </row>
    <row r="180" spans="2:23" ht="12.75" customHeight="1">
      <c r="B180" s="238"/>
      <c r="C180" s="238"/>
      <c r="D180" s="238"/>
      <c r="E180" s="238"/>
      <c r="F180" s="238"/>
      <c r="G180" s="238"/>
      <c r="H180" s="238"/>
      <c r="I180" s="238"/>
      <c r="J180" s="238"/>
      <c r="K180" s="238"/>
      <c r="L180" s="238"/>
      <c r="M180" s="238"/>
      <c r="N180" s="238"/>
      <c r="O180" s="238"/>
      <c r="P180" s="238"/>
      <c r="Q180" s="238"/>
      <c r="R180" s="238"/>
      <c r="S180" s="238"/>
      <c r="T180" s="238"/>
      <c r="U180" s="238"/>
      <c r="V180" s="238"/>
      <c r="W180" s="238"/>
    </row>
    <row r="181" spans="2:23" ht="12.75" customHeight="1">
      <c r="B181" s="238"/>
      <c r="C181" s="238"/>
      <c r="D181" s="238"/>
      <c r="E181" s="238"/>
      <c r="F181" s="238"/>
      <c r="G181" s="238"/>
      <c r="H181" s="238"/>
      <c r="I181" s="238"/>
      <c r="J181" s="238"/>
      <c r="K181" s="238"/>
      <c r="L181" s="238"/>
      <c r="M181" s="238"/>
      <c r="N181" s="238"/>
      <c r="O181" s="238"/>
      <c r="P181" s="238"/>
      <c r="Q181" s="238"/>
      <c r="R181" s="238"/>
      <c r="S181" s="238"/>
      <c r="T181" s="238"/>
      <c r="U181" s="238"/>
      <c r="V181" s="238"/>
      <c r="W181" s="238"/>
    </row>
    <row r="182" spans="2:23" ht="12.75" customHeight="1">
      <c r="B182" s="238"/>
      <c r="C182" s="238"/>
      <c r="D182" s="238"/>
      <c r="E182" s="238"/>
      <c r="F182" s="238"/>
      <c r="G182" s="238"/>
      <c r="H182" s="238"/>
      <c r="I182" s="238"/>
      <c r="J182" s="238"/>
      <c r="K182" s="238"/>
      <c r="L182" s="238"/>
      <c r="M182" s="238"/>
      <c r="N182" s="238"/>
      <c r="O182" s="238"/>
      <c r="P182" s="238"/>
      <c r="Q182" s="238"/>
      <c r="R182" s="238"/>
      <c r="S182" s="238"/>
      <c r="T182" s="238"/>
      <c r="U182" s="238"/>
      <c r="V182" s="238"/>
      <c r="W182" s="238"/>
    </row>
    <row r="183" spans="2:23" ht="12.75" customHeight="1">
      <c r="B183" s="238"/>
      <c r="C183" s="238"/>
      <c r="D183" s="238"/>
      <c r="E183" s="238"/>
      <c r="F183" s="238"/>
      <c r="G183" s="238"/>
      <c r="H183" s="238"/>
      <c r="I183" s="238"/>
      <c r="J183" s="238"/>
      <c r="K183" s="238"/>
      <c r="L183" s="238"/>
      <c r="M183" s="238"/>
      <c r="N183" s="238"/>
      <c r="O183" s="238"/>
      <c r="P183" s="238"/>
      <c r="Q183" s="238"/>
      <c r="R183" s="238"/>
      <c r="S183" s="238"/>
      <c r="T183" s="238"/>
      <c r="U183" s="238"/>
      <c r="V183" s="238"/>
      <c r="W183" s="238"/>
    </row>
    <row r="184" spans="2:23" ht="12.75" customHeight="1"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238"/>
      <c r="N184" s="238"/>
      <c r="O184" s="238"/>
      <c r="P184" s="238"/>
      <c r="Q184" s="238"/>
      <c r="R184" s="238"/>
      <c r="S184" s="238"/>
      <c r="T184" s="238"/>
      <c r="U184" s="238"/>
      <c r="V184" s="238"/>
      <c r="W184" s="238"/>
    </row>
    <row r="185" spans="2:23" ht="12.75" customHeight="1">
      <c r="B185" s="238"/>
      <c r="C185" s="238"/>
      <c r="D185" s="238"/>
      <c r="E185" s="238"/>
      <c r="F185" s="238"/>
      <c r="G185" s="238"/>
      <c r="H185" s="238"/>
      <c r="I185" s="238"/>
      <c r="J185" s="238"/>
      <c r="K185" s="238"/>
      <c r="L185" s="238"/>
      <c r="M185" s="238"/>
      <c r="N185" s="238"/>
      <c r="O185" s="238"/>
      <c r="P185" s="238"/>
      <c r="Q185" s="238"/>
      <c r="R185" s="238"/>
      <c r="S185" s="238"/>
      <c r="T185" s="238"/>
      <c r="U185" s="238"/>
      <c r="V185" s="238"/>
      <c r="W185" s="238"/>
    </row>
    <row r="186" spans="2:23" ht="12.75" customHeight="1">
      <c r="B186" s="238"/>
      <c r="C186" s="238"/>
      <c r="D186" s="238"/>
      <c r="E186" s="238"/>
      <c r="F186" s="238"/>
      <c r="G186" s="238"/>
      <c r="H186" s="238"/>
      <c r="I186" s="238"/>
      <c r="J186" s="238"/>
      <c r="K186" s="238"/>
      <c r="L186" s="238"/>
      <c r="M186" s="238"/>
      <c r="N186" s="238"/>
      <c r="O186" s="238"/>
      <c r="P186" s="238"/>
      <c r="Q186" s="238"/>
      <c r="R186" s="238"/>
      <c r="S186" s="238"/>
      <c r="T186" s="238"/>
      <c r="U186" s="238"/>
      <c r="V186" s="238"/>
      <c r="W186" s="238"/>
    </row>
    <row r="187" spans="2:23" ht="12.75" customHeight="1">
      <c r="B187" s="238"/>
      <c r="C187" s="238"/>
      <c r="D187" s="238"/>
      <c r="E187" s="238"/>
      <c r="F187" s="238"/>
      <c r="G187" s="238"/>
      <c r="H187" s="238"/>
      <c r="I187" s="238"/>
      <c r="J187" s="238"/>
      <c r="K187" s="238"/>
      <c r="L187" s="238"/>
      <c r="M187" s="238"/>
      <c r="N187" s="238"/>
      <c r="O187" s="238"/>
      <c r="P187" s="238"/>
      <c r="Q187" s="238"/>
      <c r="R187" s="238"/>
      <c r="S187" s="238"/>
      <c r="T187" s="238"/>
      <c r="U187" s="238"/>
      <c r="V187" s="238"/>
      <c r="W187" s="238"/>
    </row>
    <row r="188" spans="2:23" ht="12.75" customHeight="1">
      <c r="B188" s="238"/>
      <c r="C188" s="238"/>
      <c r="D188" s="238"/>
      <c r="E188" s="238"/>
      <c r="F188" s="238"/>
      <c r="G188" s="238"/>
      <c r="H188" s="238"/>
      <c r="I188" s="238"/>
      <c r="J188" s="238"/>
      <c r="K188" s="238"/>
      <c r="L188" s="238"/>
      <c r="M188" s="238"/>
      <c r="N188" s="238"/>
      <c r="O188" s="238"/>
      <c r="P188" s="238"/>
      <c r="Q188" s="238"/>
      <c r="R188" s="238"/>
      <c r="S188" s="238"/>
      <c r="T188" s="238"/>
      <c r="U188" s="238"/>
      <c r="V188" s="238"/>
      <c r="W188" s="238"/>
    </row>
    <row r="189" spans="2:23" ht="12.75" customHeight="1">
      <c r="B189" s="238"/>
      <c r="C189" s="238"/>
      <c r="D189" s="238"/>
      <c r="E189" s="238"/>
      <c r="F189" s="238"/>
      <c r="G189" s="238"/>
      <c r="H189" s="238"/>
      <c r="I189" s="238"/>
      <c r="J189" s="238"/>
      <c r="K189" s="238"/>
      <c r="L189" s="238"/>
      <c r="M189" s="238"/>
      <c r="N189" s="238"/>
      <c r="O189" s="238"/>
      <c r="P189" s="238"/>
      <c r="Q189" s="238"/>
      <c r="R189" s="238"/>
      <c r="S189" s="238"/>
      <c r="T189" s="238"/>
      <c r="U189" s="238"/>
      <c r="V189" s="238"/>
      <c r="W189" s="238"/>
    </row>
    <row r="190" spans="2:23" ht="12.75" customHeight="1">
      <c r="B190" s="238"/>
      <c r="C190" s="238"/>
      <c r="D190" s="238"/>
      <c r="E190" s="238"/>
      <c r="F190" s="238"/>
      <c r="G190" s="238"/>
      <c r="H190" s="238"/>
      <c r="I190" s="238"/>
      <c r="J190" s="238"/>
      <c r="K190" s="238"/>
      <c r="L190" s="238"/>
      <c r="M190" s="238"/>
      <c r="N190" s="238"/>
      <c r="O190" s="238"/>
      <c r="P190" s="238"/>
      <c r="Q190" s="238"/>
      <c r="R190" s="238"/>
      <c r="S190" s="238"/>
      <c r="T190" s="238"/>
      <c r="U190" s="238"/>
      <c r="V190" s="238"/>
      <c r="W190" s="238"/>
    </row>
    <row r="191" spans="2:23" ht="12.75" customHeight="1">
      <c r="B191" s="238"/>
      <c r="C191" s="238"/>
      <c r="D191" s="238"/>
      <c r="E191" s="238"/>
      <c r="F191" s="238"/>
      <c r="G191" s="238"/>
      <c r="H191" s="238"/>
      <c r="I191" s="238"/>
      <c r="J191" s="238"/>
      <c r="K191" s="238"/>
      <c r="L191" s="238"/>
      <c r="M191" s="238"/>
      <c r="N191" s="238"/>
      <c r="O191" s="238"/>
      <c r="P191" s="238"/>
      <c r="Q191" s="238"/>
      <c r="R191" s="238"/>
      <c r="S191" s="238"/>
      <c r="T191" s="238"/>
      <c r="U191" s="238"/>
      <c r="V191" s="238"/>
      <c r="W191" s="238"/>
    </row>
    <row r="192" spans="2:23" ht="12.75" customHeight="1">
      <c r="B192" s="238"/>
      <c r="C192" s="238"/>
      <c r="D192" s="238"/>
      <c r="E192" s="238"/>
      <c r="F192" s="238"/>
      <c r="G192" s="238"/>
      <c r="H192" s="238"/>
      <c r="I192" s="238"/>
      <c r="J192" s="238"/>
      <c r="K192" s="238"/>
      <c r="L192" s="238"/>
      <c r="M192" s="238"/>
      <c r="N192" s="238"/>
      <c r="O192" s="238"/>
      <c r="P192" s="238"/>
      <c r="Q192" s="238"/>
      <c r="R192" s="238"/>
      <c r="S192" s="238"/>
      <c r="T192" s="238"/>
      <c r="U192" s="238"/>
      <c r="V192" s="238"/>
      <c r="W192" s="238"/>
    </row>
    <row r="193" spans="2:23" ht="12.75" customHeight="1">
      <c r="B193" s="238"/>
      <c r="C193" s="238"/>
      <c r="D193" s="238"/>
      <c r="E193" s="238"/>
      <c r="F193" s="238"/>
      <c r="G193" s="238"/>
      <c r="H193" s="238"/>
      <c r="I193" s="238"/>
      <c r="J193" s="238"/>
      <c r="K193" s="238"/>
      <c r="L193" s="238"/>
      <c r="M193" s="238"/>
      <c r="N193" s="238"/>
      <c r="O193" s="238"/>
      <c r="P193" s="238"/>
      <c r="Q193" s="238"/>
      <c r="R193" s="238"/>
      <c r="S193" s="238"/>
      <c r="T193" s="238"/>
      <c r="U193" s="238"/>
      <c r="V193" s="238"/>
      <c r="W193" s="238"/>
    </row>
    <row r="194" spans="2:23" ht="12.75" customHeight="1">
      <c r="B194" s="238"/>
      <c r="C194" s="238"/>
      <c r="D194" s="238"/>
      <c r="E194" s="238"/>
      <c r="F194" s="238"/>
      <c r="G194" s="238"/>
      <c r="H194" s="238"/>
      <c r="I194" s="238"/>
      <c r="J194" s="238"/>
      <c r="K194" s="238"/>
      <c r="L194" s="238"/>
      <c r="M194" s="238"/>
      <c r="N194" s="238"/>
      <c r="O194" s="238"/>
      <c r="P194" s="238"/>
      <c r="Q194" s="238"/>
      <c r="R194" s="238"/>
      <c r="S194" s="238"/>
      <c r="T194" s="238"/>
      <c r="U194" s="238"/>
      <c r="V194" s="238"/>
      <c r="W194" s="238"/>
    </row>
    <row r="195" spans="2:23" ht="12.75" customHeight="1">
      <c r="B195" s="238"/>
      <c r="C195" s="238"/>
      <c r="D195" s="238"/>
      <c r="E195" s="238"/>
      <c r="F195" s="238"/>
      <c r="G195" s="238"/>
      <c r="H195" s="238"/>
      <c r="I195" s="238"/>
      <c r="J195" s="238"/>
      <c r="K195" s="238"/>
      <c r="L195" s="238"/>
      <c r="M195" s="238"/>
      <c r="N195" s="238"/>
      <c r="O195" s="238"/>
      <c r="P195" s="238"/>
      <c r="Q195" s="238"/>
      <c r="R195" s="238"/>
      <c r="S195" s="238"/>
      <c r="T195" s="238"/>
      <c r="U195" s="238"/>
      <c r="V195" s="238"/>
      <c r="W195" s="238"/>
    </row>
    <row r="196" spans="2:23" ht="12.75" customHeight="1">
      <c r="B196" s="238"/>
      <c r="C196" s="238"/>
      <c r="D196" s="238"/>
      <c r="E196" s="238"/>
      <c r="F196" s="238"/>
      <c r="G196" s="238"/>
      <c r="H196" s="238"/>
      <c r="I196" s="238"/>
      <c r="J196" s="238"/>
      <c r="K196" s="238"/>
      <c r="L196" s="238"/>
      <c r="M196" s="238"/>
      <c r="N196" s="238"/>
      <c r="O196" s="238"/>
      <c r="P196" s="238"/>
      <c r="Q196" s="238"/>
      <c r="R196" s="238"/>
      <c r="S196" s="238"/>
      <c r="T196" s="238"/>
      <c r="U196" s="238"/>
      <c r="V196" s="238"/>
      <c r="W196" s="238"/>
    </row>
    <row r="197" spans="2:23" ht="12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  <c r="L197" s="238"/>
      <c r="M197" s="238"/>
      <c r="N197" s="238"/>
      <c r="O197" s="238"/>
      <c r="P197" s="238"/>
      <c r="Q197" s="238"/>
      <c r="R197" s="238"/>
      <c r="S197" s="238"/>
      <c r="T197" s="238"/>
      <c r="U197" s="238"/>
      <c r="V197" s="238"/>
      <c r="W197" s="238"/>
    </row>
    <row r="198" spans="2:23" ht="12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  <c r="L198" s="238"/>
      <c r="M198" s="238"/>
      <c r="N198" s="238"/>
      <c r="O198" s="238"/>
      <c r="P198" s="238"/>
      <c r="Q198" s="238"/>
      <c r="R198" s="238"/>
      <c r="S198" s="238"/>
      <c r="T198" s="238"/>
      <c r="U198" s="238"/>
      <c r="V198" s="238"/>
      <c r="W198" s="238"/>
    </row>
    <row r="199" spans="2:23" ht="12.75" customHeight="1">
      <c r="B199" s="238"/>
      <c r="C199" s="238"/>
      <c r="D199" s="238"/>
      <c r="E199" s="238"/>
      <c r="F199" s="238"/>
      <c r="G199" s="238"/>
      <c r="H199" s="238"/>
      <c r="I199" s="238"/>
      <c r="J199" s="238"/>
      <c r="K199" s="238"/>
      <c r="L199" s="238"/>
      <c r="M199" s="238"/>
      <c r="N199" s="238"/>
      <c r="O199" s="238"/>
      <c r="P199" s="238"/>
      <c r="Q199" s="238"/>
      <c r="R199" s="238"/>
      <c r="S199" s="238"/>
      <c r="T199" s="238"/>
      <c r="U199" s="238"/>
      <c r="V199" s="238"/>
      <c r="W199" s="238"/>
    </row>
    <row r="200" spans="2:23" ht="12.75" customHeight="1">
      <c r="B200" s="238"/>
      <c r="C200" s="238"/>
      <c r="D200" s="238"/>
      <c r="E200" s="238"/>
      <c r="F200" s="238"/>
      <c r="G200" s="238"/>
      <c r="H200" s="238"/>
      <c r="I200" s="238"/>
      <c r="J200" s="238"/>
      <c r="K200" s="238"/>
      <c r="L200" s="238"/>
      <c r="M200" s="238"/>
      <c r="N200" s="238"/>
      <c r="O200" s="238"/>
      <c r="P200" s="238"/>
      <c r="Q200" s="238"/>
      <c r="R200" s="238"/>
      <c r="S200" s="238"/>
      <c r="T200" s="238"/>
      <c r="U200" s="238"/>
      <c r="V200" s="238"/>
      <c r="W200" s="238"/>
    </row>
    <row r="201" spans="2:23" ht="12.75" customHeight="1">
      <c r="B201" s="238"/>
      <c r="C201" s="238"/>
      <c r="D201" s="238"/>
      <c r="E201" s="238"/>
      <c r="F201" s="238"/>
      <c r="G201" s="238"/>
      <c r="H201" s="238"/>
      <c r="I201" s="238"/>
      <c r="J201" s="238"/>
      <c r="K201" s="238"/>
      <c r="L201" s="238"/>
      <c r="M201" s="238"/>
      <c r="N201" s="238"/>
      <c r="O201" s="238"/>
      <c r="P201" s="238"/>
      <c r="Q201" s="238"/>
      <c r="R201" s="238"/>
      <c r="S201" s="238"/>
      <c r="T201" s="238"/>
      <c r="U201" s="238"/>
      <c r="V201" s="238"/>
      <c r="W201" s="238"/>
    </row>
    <row r="202" spans="2:23" ht="12.75" customHeight="1">
      <c r="B202" s="238"/>
      <c r="C202" s="238"/>
      <c r="D202" s="238"/>
      <c r="E202" s="238"/>
      <c r="F202" s="238"/>
      <c r="G202" s="238"/>
      <c r="H202" s="238"/>
      <c r="I202" s="238"/>
      <c r="J202" s="238"/>
      <c r="K202" s="238"/>
      <c r="L202" s="238"/>
      <c r="M202" s="238"/>
      <c r="N202" s="238"/>
      <c r="O202" s="238"/>
      <c r="P202" s="238"/>
      <c r="Q202" s="238"/>
      <c r="R202" s="238"/>
      <c r="S202" s="238"/>
      <c r="T202" s="238"/>
      <c r="U202" s="238"/>
      <c r="V202" s="238"/>
      <c r="W202" s="238"/>
    </row>
    <row r="203" spans="2:23" ht="12.75" customHeight="1">
      <c r="B203" s="238"/>
      <c r="C203" s="238"/>
      <c r="D203" s="238"/>
      <c r="E203" s="238"/>
      <c r="F203" s="238"/>
      <c r="G203" s="238"/>
      <c r="H203" s="238"/>
      <c r="I203" s="238"/>
      <c r="J203" s="238"/>
      <c r="K203" s="238"/>
      <c r="L203" s="238"/>
      <c r="M203" s="238"/>
      <c r="N203" s="238"/>
      <c r="O203" s="238"/>
      <c r="P203" s="238"/>
      <c r="Q203" s="238"/>
      <c r="R203" s="238"/>
      <c r="S203" s="238"/>
      <c r="T203" s="238"/>
      <c r="U203" s="238"/>
      <c r="V203" s="238"/>
      <c r="W203" s="238"/>
    </row>
    <row r="204" spans="2:23" ht="12.75" customHeight="1">
      <c r="B204" s="238"/>
      <c r="C204" s="238"/>
      <c r="D204" s="238"/>
      <c r="E204" s="238"/>
      <c r="F204" s="238"/>
      <c r="G204" s="238"/>
      <c r="H204" s="238"/>
      <c r="I204" s="238"/>
      <c r="J204" s="238"/>
      <c r="K204" s="238"/>
      <c r="L204" s="238"/>
      <c r="M204" s="238"/>
      <c r="N204" s="238"/>
      <c r="O204" s="238"/>
      <c r="P204" s="238"/>
      <c r="Q204" s="238"/>
      <c r="R204" s="238"/>
      <c r="S204" s="238"/>
      <c r="T204" s="238"/>
      <c r="U204" s="238"/>
      <c r="V204" s="238"/>
      <c r="W204" s="238"/>
    </row>
    <row r="205" spans="2:23" ht="12.75" customHeight="1">
      <c r="B205" s="238"/>
      <c r="C205" s="238"/>
      <c r="D205" s="238"/>
      <c r="E205" s="238"/>
      <c r="F205" s="238"/>
      <c r="G205" s="238"/>
      <c r="H205" s="238"/>
      <c r="I205" s="238"/>
      <c r="J205" s="238"/>
      <c r="K205" s="238"/>
      <c r="L205" s="238"/>
      <c r="M205" s="238"/>
      <c r="N205" s="238"/>
      <c r="O205" s="238"/>
      <c r="P205" s="238"/>
      <c r="Q205" s="238"/>
      <c r="R205" s="238"/>
      <c r="S205" s="238"/>
      <c r="T205" s="238"/>
      <c r="U205" s="238"/>
      <c r="V205" s="238"/>
      <c r="W205" s="238"/>
    </row>
    <row r="206" spans="2:23" ht="12.75" customHeight="1">
      <c r="B206" s="238"/>
      <c r="C206" s="238"/>
      <c r="D206" s="238"/>
      <c r="E206" s="238"/>
      <c r="F206" s="238"/>
      <c r="G206" s="238"/>
      <c r="H206" s="238"/>
      <c r="I206" s="238"/>
      <c r="J206" s="238"/>
      <c r="K206" s="238"/>
      <c r="L206" s="238"/>
      <c r="M206" s="238"/>
      <c r="N206" s="238"/>
      <c r="O206" s="238"/>
      <c r="P206" s="238"/>
      <c r="Q206" s="238"/>
      <c r="R206" s="238"/>
      <c r="S206" s="238"/>
      <c r="T206" s="238"/>
      <c r="U206" s="238"/>
      <c r="V206" s="238"/>
      <c r="W206" s="238"/>
    </row>
    <row r="207" spans="2:23" ht="12.75" customHeight="1">
      <c r="B207" s="238"/>
      <c r="C207" s="238"/>
      <c r="D207" s="238"/>
      <c r="E207" s="238"/>
      <c r="F207" s="238"/>
      <c r="G207" s="238"/>
      <c r="H207" s="238"/>
      <c r="I207" s="238"/>
      <c r="J207" s="238"/>
      <c r="K207" s="238"/>
      <c r="L207" s="238"/>
      <c r="M207" s="238"/>
      <c r="N207" s="238"/>
      <c r="O207" s="238"/>
      <c r="P207" s="238"/>
      <c r="Q207" s="238"/>
      <c r="R207" s="238"/>
      <c r="S207" s="238"/>
      <c r="T207" s="238"/>
      <c r="U207" s="238"/>
      <c r="V207" s="238"/>
      <c r="W207" s="238"/>
    </row>
    <row r="208" spans="2:23" ht="12.75" customHeight="1">
      <c r="B208" s="238"/>
      <c r="C208" s="238"/>
      <c r="D208" s="238"/>
      <c r="E208" s="238"/>
      <c r="F208" s="238"/>
      <c r="G208" s="238"/>
      <c r="H208" s="238"/>
      <c r="I208" s="238"/>
      <c r="J208" s="238"/>
      <c r="K208" s="238"/>
      <c r="L208" s="238"/>
      <c r="M208" s="238"/>
      <c r="N208" s="238"/>
      <c r="O208" s="238"/>
      <c r="P208" s="238"/>
      <c r="Q208" s="238"/>
      <c r="R208" s="238"/>
      <c r="S208" s="238"/>
      <c r="T208" s="238"/>
      <c r="U208" s="238"/>
      <c r="V208" s="238"/>
      <c r="W208" s="238"/>
    </row>
    <row r="209" spans="2:23" ht="12.75" customHeight="1">
      <c r="B209" s="238"/>
      <c r="C209" s="238"/>
      <c r="D209" s="238"/>
      <c r="E209" s="238"/>
      <c r="F209" s="238"/>
      <c r="G209" s="238"/>
      <c r="H209" s="238"/>
      <c r="I209" s="238"/>
      <c r="J209" s="238"/>
      <c r="K209" s="238"/>
      <c r="L209" s="238"/>
      <c r="M209" s="238"/>
      <c r="N209" s="238"/>
      <c r="O209" s="238"/>
      <c r="P209" s="238"/>
      <c r="Q209" s="238"/>
      <c r="R209" s="238"/>
      <c r="S209" s="238"/>
      <c r="T209" s="238"/>
      <c r="U209" s="238"/>
      <c r="V209" s="238"/>
      <c r="W209" s="238"/>
    </row>
    <row r="210" spans="2:23" ht="12.75" customHeight="1">
      <c r="B210" s="238"/>
      <c r="C210" s="238"/>
      <c r="D210" s="238"/>
      <c r="E210" s="238"/>
      <c r="F210" s="238"/>
      <c r="G210" s="238"/>
      <c r="H210" s="238"/>
      <c r="I210" s="238"/>
      <c r="J210" s="238"/>
      <c r="K210" s="238"/>
      <c r="L210" s="238"/>
      <c r="M210" s="238"/>
      <c r="N210" s="238"/>
      <c r="O210" s="238"/>
      <c r="P210" s="238"/>
      <c r="Q210" s="238"/>
      <c r="R210" s="238"/>
      <c r="S210" s="238"/>
      <c r="T210" s="238"/>
      <c r="U210" s="238"/>
      <c r="V210" s="238"/>
      <c r="W210" s="238"/>
    </row>
    <row r="211" spans="2:23" ht="12.75" customHeight="1">
      <c r="B211" s="238"/>
      <c r="C211" s="238"/>
      <c r="D211" s="238"/>
      <c r="E211" s="238"/>
      <c r="F211" s="238"/>
      <c r="G211" s="238"/>
      <c r="H211" s="238"/>
      <c r="I211" s="238"/>
      <c r="J211" s="238"/>
      <c r="K211" s="238"/>
      <c r="L211" s="238"/>
      <c r="M211" s="238"/>
      <c r="N211" s="238"/>
      <c r="O211" s="238"/>
      <c r="P211" s="238"/>
      <c r="Q211" s="238"/>
      <c r="R211" s="238"/>
      <c r="S211" s="238"/>
      <c r="T211" s="238"/>
      <c r="U211" s="238"/>
      <c r="V211" s="238"/>
      <c r="W211" s="238"/>
    </row>
    <row r="212" spans="2:23" ht="12.75" customHeight="1">
      <c r="B212" s="238"/>
      <c r="C212" s="238"/>
      <c r="D212" s="238"/>
      <c r="E212" s="238"/>
      <c r="F212" s="238"/>
      <c r="G212" s="238"/>
      <c r="H212" s="238"/>
      <c r="I212" s="238"/>
      <c r="J212" s="238"/>
      <c r="K212" s="238"/>
      <c r="L212" s="238"/>
      <c r="M212" s="238"/>
      <c r="N212" s="238"/>
      <c r="O212" s="238"/>
      <c r="P212" s="238"/>
      <c r="Q212" s="238"/>
      <c r="R212" s="238"/>
      <c r="S212" s="238"/>
      <c r="T212" s="238"/>
      <c r="U212" s="238"/>
      <c r="V212" s="238"/>
      <c r="W212" s="238"/>
    </row>
    <row r="213" spans="2:23" ht="12.75" customHeight="1">
      <c r="B213" s="238"/>
      <c r="C213" s="238"/>
      <c r="D213" s="238"/>
      <c r="E213" s="238"/>
      <c r="F213" s="238"/>
      <c r="G213" s="238"/>
      <c r="H213" s="238"/>
      <c r="I213" s="238"/>
      <c r="J213" s="238"/>
      <c r="K213" s="238"/>
      <c r="L213" s="238"/>
      <c r="M213" s="238"/>
      <c r="N213" s="238"/>
      <c r="O213" s="238"/>
      <c r="P213" s="238"/>
      <c r="Q213" s="238"/>
      <c r="R213" s="238"/>
      <c r="S213" s="238"/>
      <c r="T213" s="238"/>
      <c r="U213" s="238"/>
      <c r="V213" s="238"/>
      <c r="W213" s="238"/>
    </row>
    <row r="214" spans="2:23" ht="12.75" customHeight="1">
      <c r="B214" s="238"/>
      <c r="C214" s="238"/>
      <c r="D214" s="238"/>
      <c r="E214" s="238"/>
      <c r="F214" s="238"/>
      <c r="G214" s="238"/>
      <c r="H214" s="238"/>
      <c r="I214" s="238"/>
      <c r="J214" s="238"/>
      <c r="K214" s="238"/>
      <c r="L214" s="238"/>
      <c r="M214" s="238"/>
      <c r="N214" s="238"/>
      <c r="O214" s="238"/>
      <c r="P214" s="238"/>
      <c r="Q214" s="238"/>
      <c r="R214" s="238"/>
      <c r="S214" s="238"/>
      <c r="T214" s="238"/>
      <c r="U214" s="238"/>
      <c r="V214" s="238"/>
      <c r="W214" s="238"/>
    </row>
    <row r="215" spans="2:23" ht="12.75" customHeight="1">
      <c r="B215" s="238"/>
      <c r="C215" s="238"/>
      <c r="D215" s="238"/>
      <c r="E215" s="238"/>
      <c r="F215" s="238"/>
      <c r="G215" s="238"/>
      <c r="H215" s="238"/>
      <c r="I215" s="238"/>
      <c r="J215" s="238"/>
      <c r="K215" s="238"/>
      <c r="L215" s="238"/>
      <c r="M215" s="238"/>
      <c r="N215" s="238"/>
      <c r="O215" s="238"/>
      <c r="P215" s="238"/>
      <c r="Q215" s="238"/>
      <c r="R215" s="238"/>
      <c r="S215" s="238"/>
      <c r="T215" s="238"/>
      <c r="U215" s="238"/>
      <c r="V215" s="238"/>
      <c r="W215" s="238"/>
    </row>
    <row r="216" spans="2:23" ht="12.75" customHeight="1">
      <c r="B216" s="238"/>
      <c r="C216" s="238"/>
      <c r="D216" s="238"/>
      <c r="E216" s="238"/>
      <c r="F216" s="238"/>
      <c r="G216" s="238"/>
      <c r="H216" s="238"/>
      <c r="I216" s="238"/>
      <c r="J216" s="238"/>
      <c r="K216" s="238"/>
      <c r="L216" s="238"/>
      <c r="M216" s="238"/>
      <c r="N216" s="238"/>
      <c r="O216" s="238"/>
      <c r="P216" s="238"/>
      <c r="Q216" s="238"/>
      <c r="R216" s="238"/>
      <c r="S216" s="238"/>
      <c r="T216" s="238"/>
      <c r="U216" s="238"/>
      <c r="V216" s="238"/>
      <c r="W216" s="238"/>
    </row>
    <row r="217" spans="2:23" ht="12.75" customHeight="1">
      <c r="B217" s="238"/>
      <c r="C217" s="238"/>
      <c r="D217" s="238"/>
      <c r="E217" s="238"/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238"/>
      <c r="T217" s="238"/>
      <c r="U217" s="238"/>
      <c r="V217" s="238"/>
      <c r="W217" s="238"/>
    </row>
    <row r="218" spans="2:23" ht="12.75" customHeight="1">
      <c r="B218" s="238"/>
      <c r="C218" s="238"/>
      <c r="D218" s="238"/>
      <c r="E218" s="238"/>
      <c r="F218" s="238"/>
      <c r="G218" s="238"/>
      <c r="H218" s="238"/>
      <c r="I218" s="238"/>
      <c r="J218" s="238"/>
      <c r="K218" s="238"/>
      <c r="L218" s="238"/>
      <c r="M218" s="238"/>
      <c r="N218" s="238"/>
      <c r="O218" s="238"/>
      <c r="P218" s="238"/>
      <c r="Q218" s="238"/>
      <c r="R218" s="238"/>
      <c r="S218" s="238"/>
      <c r="T218" s="238"/>
      <c r="U218" s="238"/>
      <c r="V218" s="238"/>
      <c r="W218" s="238"/>
    </row>
    <row r="219" spans="2:23" ht="12.75" customHeight="1">
      <c r="B219" s="238"/>
      <c r="C219" s="238"/>
      <c r="D219" s="238"/>
      <c r="E219" s="238"/>
      <c r="F219" s="238"/>
      <c r="G219" s="238"/>
      <c r="H219" s="238"/>
      <c r="I219" s="238"/>
      <c r="J219" s="238"/>
      <c r="K219" s="238"/>
      <c r="L219" s="238"/>
      <c r="M219" s="238"/>
      <c r="N219" s="238"/>
      <c r="O219" s="238"/>
      <c r="P219" s="238"/>
      <c r="Q219" s="238"/>
      <c r="R219" s="238"/>
      <c r="S219" s="238"/>
      <c r="T219" s="238"/>
      <c r="U219" s="238"/>
      <c r="V219" s="238"/>
      <c r="W219" s="238"/>
    </row>
    <row r="220" spans="2:23" ht="12.75" customHeight="1">
      <c r="B220" s="238"/>
      <c r="C220" s="238"/>
      <c r="D220" s="238"/>
      <c r="E220" s="238"/>
      <c r="F220" s="238"/>
      <c r="G220" s="238"/>
      <c r="H220" s="238"/>
      <c r="I220" s="238"/>
      <c r="J220" s="238"/>
      <c r="K220" s="238"/>
      <c r="L220" s="238"/>
      <c r="M220" s="238"/>
      <c r="N220" s="238"/>
      <c r="O220" s="238"/>
      <c r="P220" s="238"/>
      <c r="Q220" s="238"/>
      <c r="R220" s="238"/>
      <c r="S220" s="238"/>
      <c r="T220" s="238"/>
      <c r="U220" s="238"/>
      <c r="V220" s="238"/>
      <c r="W220" s="238"/>
    </row>
    <row r="221" spans="2:23" ht="12.75" customHeight="1">
      <c r="B221" s="238"/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  <c r="O221" s="238"/>
      <c r="P221" s="238"/>
      <c r="Q221" s="238"/>
      <c r="R221" s="238"/>
      <c r="S221" s="238"/>
      <c r="T221" s="238"/>
      <c r="U221" s="238"/>
      <c r="V221" s="238"/>
      <c r="W221" s="238"/>
    </row>
    <row r="222" spans="2:23" ht="12.75" customHeight="1">
      <c r="B222" s="238"/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</row>
    <row r="223" spans="2:23" ht="12.75" customHeight="1">
      <c r="B223" s="238"/>
      <c r="C223" s="238"/>
      <c r="D223" s="238"/>
      <c r="E223" s="238"/>
      <c r="F223" s="238"/>
      <c r="G223" s="238"/>
      <c r="H223" s="238"/>
      <c r="I223" s="238"/>
      <c r="J223" s="238"/>
      <c r="K223" s="238"/>
      <c r="L223" s="238"/>
      <c r="M223" s="238"/>
      <c r="N223" s="238"/>
      <c r="O223" s="238"/>
      <c r="P223" s="238"/>
      <c r="Q223" s="238"/>
      <c r="R223" s="238"/>
      <c r="S223" s="238"/>
      <c r="T223" s="238"/>
      <c r="U223" s="238"/>
      <c r="V223" s="238"/>
      <c r="W223" s="238"/>
    </row>
    <row r="224" spans="2:23" ht="12.75" customHeight="1">
      <c r="B224" s="238"/>
      <c r="C224" s="238"/>
      <c r="D224" s="238"/>
      <c r="E224" s="238"/>
      <c r="F224" s="238"/>
      <c r="G224" s="238"/>
      <c r="H224" s="238"/>
      <c r="I224" s="238"/>
      <c r="J224" s="238"/>
      <c r="K224" s="238"/>
      <c r="L224" s="238"/>
      <c r="M224" s="238"/>
      <c r="N224" s="238"/>
      <c r="O224" s="238"/>
      <c r="P224" s="238"/>
      <c r="Q224" s="238"/>
      <c r="R224" s="238"/>
      <c r="S224" s="238"/>
      <c r="T224" s="238"/>
      <c r="U224" s="238"/>
      <c r="V224" s="238"/>
      <c r="W224" s="238"/>
    </row>
    <row r="225" spans="2:23" ht="12.75" customHeight="1">
      <c r="B225" s="238"/>
      <c r="C225" s="238"/>
      <c r="D225" s="238"/>
      <c r="E225" s="238"/>
      <c r="F225" s="238"/>
      <c r="G225" s="238"/>
      <c r="H225" s="238"/>
      <c r="I225" s="238"/>
      <c r="J225" s="238"/>
      <c r="K225" s="238"/>
      <c r="L225" s="238"/>
      <c r="M225" s="238"/>
      <c r="N225" s="238"/>
      <c r="O225" s="238"/>
      <c r="P225" s="238"/>
      <c r="Q225" s="238"/>
      <c r="R225" s="238"/>
      <c r="S225" s="238"/>
      <c r="T225" s="238"/>
      <c r="U225" s="238"/>
      <c r="V225" s="238"/>
      <c r="W225" s="238"/>
    </row>
    <row r="226" spans="2:23" ht="12.75" customHeight="1">
      <c r="B226" s="238"/>
      <c r="C226" s="238"/>
      <c r="D226" s="238"/>
      <c r="E226" s="238"/>
      <c r="F226" s="238"/>
      <c r="G226" s="238"/>
      <c r="H226" s="238"/>
      <c r="I226" s="238"/>
      <c r="J226" s="238"/>
      <c r="K226" s="238"/>
      <c r="L226" s="238"/>
      <c r="M226" s="238"/>
      <c r="N226" s="238"/>
      <c r="O226" s="238"/>
      <c r="P226" s="238"/>
      <c r="Q226" s="238"/>
      <c r="R226" s="238"/>
      <c r="S226" s="238"/>
      <c r="T226" s="238"/>
      <c r="U226" s="238"/>
      <c r="V226" s="238"/>
      <c r="W226" s="238"/>
    </row>
    <row r="227" spans="2:23" ht="12.75" customHeight="1">
      <c r="B227" s="238"/>
      <c r="C227" s="238"/>
      <c r="D227" s="238"/>
      <c r="E227" s="238"/>
      <c r="F227" s="238"/>
      <c r="G227" s="238"/>
      <c r="H227" s="238"/>
      <c r="I227" s="238"/>
      <c r="J227" s="238"/>
      <c r="K227" s="238"/>
      <c r="L227" s="238"/>
      <c r="M227" s="238"/>
      <c r="N227" s="238"/>
      <c r="O227" s="238"/>
      <c r="P227" s="238"/>
      <c r="Q227" s="238"/>
      <c r="R227" s="238"/>
      <c r="S227" s="238"/>
      <c r="T227" s="238"/>
      <c r="U227" s="238"/>
      <c r="V227" s="238"/>
      <c r="W227" s="238"/>
    </row>
    <row r="228" spans="2:23" ht="12.75" customHeight="1">
      <c r="B228" s="238"/>
      <c r="C228" s="238"/>
      <c r="D228" s="238"/>
      <c r="E228" s="238"/>
      <c r="F228" s="238"/>
      <c r="G228" s="238"/>
      <c r="H228" s="238"/>
      <c r="I228" s="238"/>
      <c r="J228" s="238"/>
      <c r="K228" s="238"/>
      <c r="L228" s="238"/>
      <c r="M228" s="238"/>
      <c r="N228" s="238"/>
      <c r="O228" s="238"/>
      <c r="P228" s="238"/>
      <c r="Q228" s="238"/>
      <c r="R228" s="238"/>
      <c r="S228" s="238"/>
      <c r="T228" s="238"/>
      <c r="U228" s="238"/>
      <c r="V228" s="238"/>
      <c r="W228" s="238"/>
    </row>
    <row r="229" spans="2:23" ht="12.75" customHeight="1">
      <c r="B229" s="238"/>
      <c r="C229" s="238"/>
      <c r="D229" s="238"/>
      <c r="E229" s="238"/>
      <c r="F229" s="238"/>
      <c r="G229" s="238"/>
      <c r="H229" s="238"/>
      <c r="I229" s="238"/>
      <c r="J229" s="238"/>
      <c r="K229" s="238"/>
      <c r="L229" s="238"/>
      <c r="M229" s="238"/>
      <c r="N229" s="238"/>
      <c r="O229" s="238"/>
      <c r="P229" s="238"/>
      <c r="Q229" s="238"/>
      <c r="R229" s="238"/>
      <c r="S229" s="238"/>
      <c r="T229" s="238"/>
      <c r="U229" s="238"/>
      <c r="V229" s="238"/>
      <c r="W229" s="238"/>
    </row>
    <row r="230" spans="2:23" ht="12.75" customHeight="1">
      <c r="B230" s="238"/>
      <c r="C230" s="238"/>
      <c r="D230" s="238"/>
      <c r="E230" s="238"/>
      <c r="F230" s="238"/>
      <c r="G230" s="238"/>
      <c r="H230" s="238"/>
      <c r="I230" s="238"/>
      <c r="J230" s="238"/>
      <c r="K230" s="238"/>
      <c r="L230" s="238"/>
      <c r="M230" s="238"/>
      <c r="N230" s="238"/>
      <c r="O230" s="238"/>
      <c r="P230" s="238"/>
      <c r="Q230" s="238"/>
      <c r="R230" s="238"/>
      <c r="S230" s="238"/>
      <c r="T230" s="238"/>
      <c r="U230" s="238"/>
      <c r="V230" s="238"/>
      <c r="W230" s="238"/>
    </row>
    <row r="231" spans="2:23" ht="12.75" customHeight="1">
      <c r="B231" s="238"/>
      <c r="C231" s="238"/>
      <c r="D231" s="238"/>
      <c r="E231" s="238"/>
      <c r="F231" s="238"/>
      <c r="G231" s="238"/>
      <c r="H231" s="238"/>
      <c r="I231" s="238"/>
      <c r="J231" s="238"/>
      <c r="K231" s="238"/>
      <c r="L231" s="238"/>
      <c r="M231" s="238"/>
      <c r="N231" s="238"/>
      <c r="O231" s="238"/>
      <c r="P231" s="238"/>
      <c r="Q231" s="238"/>
      <c r="R231" s="238"/>
      <c r="S231" s="238"/>
      <c r="T231" s="238"/>
      <c r="U231" s="238"/>
      <c r="V231" s="238"/>
      <c r="W231" s="238"/>
    </row>
    <row r="232" spans="2:23" ht="12.75" customHeight="1">
      <c r="B232" s="238"/>
      <c r="C232" s="238"/>
      <c r="D232" s="238"/>
      <c r="E232" s="238"/>
      <c r="F232" s="238"/>
      <c r="G232" s="238"/>
      <c r="H232" s="238"/>
      <c r="I232" s="238"/>
      <c r="J232" s="238"/>
      <c r="K232" s="238"/>
      <c r="L232" s="238"/>
      <c r="M232" s="238"/>
      <c r="N232" s="238"/>
      <c r="O232" s="238"/>
      <c r="P232" s="238"/>
      <c r="Q232" s="238"/>
      <c r="R232" s="238"/>
      <c r="S232" s="238"/>
      <c r="T232" s="238"/>
      <c r="U232" s="238"/>
      <c r="V232" s="238"/>
      <c r="W232" s="238"/>
    </row>
    <row r="233" spans="2:23" ht="12.75" customHeight="1">
      <c r="B233" s="238"/>
      <c r="C233" s="238"/>
      <c r="D233" s="238"/>
      <c r="E233" s="238"/>
      <c r="F233" s="238"/>
      <c r="G233" s="238"/>
      <c r="H233" s="238"/>
      <c r="I233" s="238"/>
      <c r="J233" s="238"/>
      <c r="K233" s="238"/>
      <c r="L233" s="238"/>
      <c r="M233" s="238"/>
      <c r="N233" s="238"/>
      <c r="O233" s="238"/>
      <c r="P233" s="238"/>
      <c r="Q233" s="238"/>
      <c r="R233" s="238"/>
      <c r="S233" s="238"/>
      <c r="T233" s="238"/>
      <c r="U233" s="238"/>
      <c r="V233" s="238"/>
      <c r="W233" s="238"/>
    </row>
    <row r="234" spans="2:23" ht="12.75" customHeight="1">
      <c r="B234" s="238"/>
      <c r="C234" s="238"/>
      <c r="D234" s="238"/>
      <c r="E234" s="238"/>
      <c r="F234" s="238"/>
      <c r="G234" s="238"/>
      <c r="H234" s="238"/>
      <c r="I234" s="238"/>
      <c r="J234" s="238"/>
      <c r="K234" s="238"/>
      <c r="L234" s="238"/>
      <c r="M234" s="238"/>
      <c r="N234" s="238"/>
      <c r="O234" s="238"/>
      <c r="P234" s="238"/>
      <c r="Q234" s="238"/>
      <c r="R234" s="238"/>
      <c r="S234" s="238"/>
      <c r="T234" s="238"/>
      <c r="U234" s="238"/>
      <c r="V234" s="238"/>
      <c r="W234" s="238"/>
    </row>
    <row r="235" spans="2:23" ht="12.75" customHeight="1">
      <c r="B235" s="238"/>
      <c r="C235" s="238"/>
      <c r="D235" s="238"/>
      <c r="E235" s="238"/>
      <c r="F235" s="238"/>
      <c r="G235" s="238"/>
      <c r="H235" s="238"/>
      <c r="I235" s="238"/>
      <c r="J235" s="238"/>
      <c r="K235" s="238"/>
      <c r="L235" s="238"/>
      <c r="M235" s="238"/>
      <c r="N235" s="238"/>
      <c r="O235" s="238"/>
      <c r="P235" s="238"/>
      <c r="Q235" s="238"/>
      <c r="R235" s="238"/>
      <c r="S235" s="238"/>
      <c r="T235" s="238"/>
      <c r="U235" s="238"/>
      <c r="V235" s="238"/>
      <c r="W235" s="238"/>
    </row>
    <row r="236" spans="2:23" ht="12.75" customHeight="1">
      <c r="B236" s="238"/>
      <c r="C236" s="238"/>
      <c r="D236" s="238"/>
      <c r="E236" s="238"/>
      <c r="F236" s="238"/>
      <c r="G236" s="238"/>
      <c r="H236" s="238"/>
      <c r="I236" s="238"/>
      <c r="J236" s="238"/>
      <c r="K236" s="238"/>
      <c r="L236" s="238"/>
      <c r="M236" s="238"/>
      <c r="N236" s="238"/>
      <c r="O236" s="238"/>
      <c r="P236" s="238"/>
      <c r="Q236" s="238"/>
      <c r="R236" s="238"/>
      <c r="S236" s="238"/>
      <c r="T236" s="238"/>
      <c r="U236" s="238"/>
      <c r="V236" s="238"/>
      <c r="W236" s="238"/>
    </row>
    <row r="237" spans="2:23" ht="12.75" customHeight="1">
      <c r="B237" s="238"/>
      <c r="C237" s="238"/>
      <c r="D237" s="238"/>
      <c r="E237" s="238"/>
      <c r="F237" s="238"/>
      <c r="G237" s="238"/>
      <c r="H237" s="238"/>
      <c r="I237" s="238"/>
      <c r="J237" s="238"/>
      <c r="K237" s="238"/>
      <c r="L237" s="238"/>
      <c r="M237" s="238"/>
      <c r="N237" s="238"/>
      <c r="O237" s="238"/>
      <c r="P237" s="238"/>
      <c r="Q237" s="238"/>
      <c r="R237" s="238"/>
      <c r="S237" s="238"/>
      <c r="T237" s="238"/>
      <c r="U237" s="238"/>
      <c r="V237" s="238"/>
      <c r="W237" s="238"/>
    </row>
    <row r="238" spans="2:23" ht="12.75" customHeight="1">
      <c r="B238" s="238"/>
      <c r="C238" s="238"/>
      <c r="D238" s="238"/>
      <c r="E238" s="238"/>
      <c r="F238" s="238"/>
      <c r="G238" s="238"/>
      <c r="H238" s="238"/>
      <c r="I238" s="238"/>
      <c r="J238" s="238"/>
      <c r="K238" s="238"/>
      <c r="L238" s="238"/>
      <c r="M238" s="238"/>
      <c r="N238" s="238"/>
      <c r="O238" s="238"/>
      <c r="P238" s="238"/>
      <c r="Q238" s="238"/>
      <c r="R238" s="238"/>
      <c r="S238" s="238"/>
      <c r="T238" s="238"/>
      <c r="U238" s="238"/>
      <c r="V238" s="238"/>
      <c r="W238" s="238"/>
    </row>
    <row r="239" spans="2:23" ht="12.75" customHeight="1">
      <c r="B239" s="238"/>
      <c r="C239" s="238"/>
      <c r="D239" s="238"/>
      <c r="E239" s="238"/>
      <c r="F239" s="238"/>
      <c r="G239" s="238"/>
      <c r="H239" s="238"/>
      <c r="I239" s="238"/>
      <c r="J239" s="238"/>
      <c r="K239" s="238"/>
      <c r="L239" s="238"/>
      <c r="M239" s="238"/>
      <c r="N239" s="238"/>
      <c r="O239" s="238"/>
      <c r="P239" s="238"/>
      <c r="Q239" s="238"/>
      <c r="R239" s="238"/>
      <c r="S239" s="238"/>
      <c r="T239" s="238"/>
      <c r="U239" s="238"/>
      <c r="V239" s="238"/>
      <c r="W239" s="238"/>
    </row>
    <row r="240" spans="2:23" ht="12.75" customHeight="1">
      <c r="B240" s="238"/>
      <c r="C240" s="238"/>
      <c r="D240" s="238"/>
      <c r="E240" s="238"/>
      <c r="F240" s="238"/>
      <c r="G240" s="238"/>
      <c r="H240" s="238"/>
      <c r="I240" s="238"/>
      <c r="J240" s="238"/>
      <c r="K240" s="238"/>
      <c r="L240" s="238"/>
      <c r="M240" s="238"/>
      <c r="N240" s="238"/>
      <c r="O240" s="238"/>
      <c r="P240" s="238"/>
      <c r="Q240" s="238"/>
      <c r="R240" s="238"/>
      <c r="S240" s="238"/>
      <c r="T240" s="238"/>
      <c r="U240" s="238"/>
      <c r="V240" s="238"/>
      <c r="W240" s="238"/>
    </row>
    <row r="241" spans="2:23" ht="12.75" customHeight="1">
      <c r="B241" s="238"/>
      <c r="C241" s="238"/>
      <c r="D241" s="238"/>
      <c r="E241" s="238"/>
      <c r="F241" s="238"/>
      <c r="G241" s="238"/>
      <c r="H241" s="238"/>
      <c r="I241" s="238"/>
      <c r="J241" s="238"/>
      <c r="K241" s="238"/>
      <c r="L241" s="238"/>
      <c r="M241" s="238"/>
      <c r="N241" s="238"/>
      <c r="O241" s="238"/>
      <c r="P241" s="238"/>
      <c r="Q241" s="238"/>
      <c r="R241" s="238"/>
      <c r="S241" s="238"/>
      <c r="T241" s="238"/>
      <c r="U241" s="238"/>
      <c r="V241" s="238"/>
      <c r="W241" s="238"/>
    </row>
    <row r="242" spans="2:23" ht="12.75" customHeight="1">
      <c r="B242" s="238"/>
      <c r="C242" s="238"/>
      <c r="D242" s="238"/>
      <c r="E242" s="238"/>
      <c r="F242" s="238"/>
      <c r="G242" s="238"/>
      <c r="H242" s="238"/>
      <c r="I242" s="238"/>
      <c r="J242" s="238"/>
      <c r="K242" s="238"/>
      <c r="L242" s="238"/>
      <c r="M242" s="238"/>
      <c r="N242" s="238"/>
      <c r="O242" s="238"/>
      <c r="P242" s="238"/>
      <c r="Q242" s="238"/>
      <c r="R242" s="238"/>
      <c r="S242" s="238"/>
      <c r="T242" s="238"/>
      <c r="U242" s="238"/>
      <c r="V242" s="238"/>
      <c r="W242" s="238"/>
    </row>
    <row r="243" spans="2:23" ht="12.75" customHeight="1">
      <c r="B243" s="238"/>
      <c r="C243" s="238"/>
      <c r="D243" s="238"/>
      <c r="E243" s="238"/>
      <c r="F243" s="238"/>
      <c r="G243" s="238"/>
      <c r="H243" s="238"/>
      <c r="I243" s="238"/>
      <c r="J243" s="238"/>
      <c r="K243" s="238"/>
      <c r="L243" s="238"/>
      <c r="M243" s="238"/>
      <c r="N243" s="238"/>
      <c r="O243" s="238"/>
      <c r="P243" s="238"/>
      <c r="Q243" s="238"/>
      <c r="R243" s="238"/>
      <c r="S243" s="238"/>
      <c r="T243" s="238"/>
      <c r="U243" s="238"/>
      <c r="V243" s="238"/>
      <c r="W243" s="238"/>
    </row>
    <row r="244" spans="2:23" ht="12.75" customHeight="1">
      <c r="B244" s="238"/>
      <c r="C244" s="238"/>
      <c r="D244" s="238"/>
      <c r="E244" s="238"/>
      <c r="F244" s="238"/>
      <c r="G244" s="238"/>
      <c r="H244" s="238"/>
      <c r="I244" s="238"/>
      <c r="J244" s="238"/>
      <c r="K244" s="238"/>
      <c r="L244" s="238"/>
      <c r="M244" s="238"/>
      <c r="N244" s="238"/>
      <c r="O244" s="238"/>
      <c r="P244" s="238"/>
      <c r="Q244" s="238"/>
      <c r="R244" s="238"/>
      <c r="S244" s="238"/>
      <c r="T244" s="238"/>
      <c r="U244" s="238"/>
      <c r="V244" s="238"/>
      <c r="W244" s="238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topLeftCell="A2" zoomScaleSheetLayoutView="100" workbookViewId="0">
      <selection activeCell="Q17" sqref="Q17"/>
    </sheetView>
  </sheetViews>
  <sheetFormatPr defaultColWidth="9.140625" defaultRowHeight="14.25"/>
  <cols>
    <col min="1" max="1" width="5.42578125" style="471" customWidth="1"/>
    <col min="2" max="2" width="5" style="471" customWidth="1"/>
    <col min="3" max="3" width="20.140625" style="471" customWidth="1"/>
    <col min="4" max="4" width="3.28515625" style="471" customWidth="1"/>
    <col min="5" max="5" width="14" style="62" customWidth="1"/>
    <col min="6" max="6" width="9.140625" style="471"/>
    <col min="7" max="7" width="10.28515625" style="471" customWidth="1"/>
    <col min="8" max="13" width="9.140625" style="471"/>
    <col min="14" max="15" width="3.42578125" style="471" customWidth="1"/>
    <col min="16" max="16" width="5.5703125" style="471" customWidth="1"/>
    <col min="17" max="16384" width="9.140625" style="471"/>
  </cols>
  <sheetData>
    <row r="1" spans="1:16" ht="25.5">
      <c r="A1" s="772" t="str">
        <f>封面!$A$4</f>
        <v>彰化縣地方教育發展基金－彰化縣秀水鄉馬興國民小學</v>
      </c>
      <c r="B1" s="772"/>
      <c r="C1" s="772"/>
      <c r="D1" s="772"/>
      <c r="E1" s="772"/>
      <c r="F1" s="772"/>
      <c r="G1" s="772"/>
      <c r="H1" s="772"/>
      <c r="I1" s="772"/>
      <c r="J1" s="772"/>
      <c r="K1" s="772"/>
      <c r="L1" s="772"/>
      <c r="M1" s="772"/>
      <c r="N1" s="772"/>
      <c r="O1" s="772"/>
    </row>
    <row r="2" spans="1:16" ht="19.5">
      <c r="A2" s="773" t="s">
        <v>116</v>
      </c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</row>
    <row r="3" spans="1:16" ht="15.75">
      <c r="A3" s="774" t="str">
        <f>封面!$E$10&amp;封面!$H$10&amp;封面!$I$10&amp;封面!$J$10&amp;封面!$K$10&amp;封面!L10</f>
        <v>中華民國112年7月份</v>
      </c>
      <c r="B3" s="774"/>
      <c r="C3" s="774"/>
      <c r="D3" s="774"/>
      <c r="E3" s="774"/>
      <c r="F3" s="774"/>
      <c r="G3" s="774"/>
      <c r="H3" s="774"/>
      <c r="I3" s="774"/>
      <c r="J3" s="774"/>
      <c r="K3" s="774"/>
      <c r="L3" s="774"/>
      <c r="M3" s="774"/>
      <c r="N3" s="774"/>
      <c r="O3" s="774"/>
    </row>
    <row r="4" spans="1:16" s="472" customFormat="1" ht="16.5">
      <c r="A4" s="472" t="s">
        <v>220</v>
      </c>
      <c r="B4" s="771" t="s">
        <v>221</v>
      </c>
      <c r="C4" s="771"/>
      <c r="D4" s="771"/>
      <c r="E4" s="771"/>
      <c r="F4" s="771"/>
      <c r="G4" s="771"/>
      <c r="H4" s="771"/>
      <c r="I4" s="771"/>
      <c r="J4" s="771"/>
      <c r="K4" s="771"/>
      <c r="L4" s="771"/>
      <c r="M4" s="771"/>
      <c r="N4" s="771"/>
      <c r="O4" s="771"/>
      <c r="P4" s="771"/>
    </row>
    <row r="5" spans="1:16" s="472" customFormat="1" ht="16.5">
      <c r="B5" s="472" t="s">
        <v>438</v>
      </c>
      <c r="C5" s="472" t="s">
        <v>439</v>
      </c>
      <c r="D5" s="592"/>
      <c r="E5" s="60" t="s">
        <v>194</v>
      </c>
      <c r="F5" s="592"/>
      <c r="G5" s="592"/>
      <c r="H5" s="592"/>
      <c r="I5" s="592"/>
    </row>
    <row r="6" spans="1:16" s="472" customFormat="1" ht="16.5">
      <c r="D6" s="102" t="s">
        <v>222</v>
      </c>
      <c r="E6" s="60" t="s">
        <v>195</v>
      </c>
      <c r="F6" s="592"/>
      <c r="G6" s="592"/>
      <c r="H6" s="210" t="s">
        <v>463</v>
      </c>
      <c r="I6" s="334"/>
      <c r="J6" s="334"/>
      <c r="K6" s="334"/>
      <c r="L6" s="334"/>
      <c r="M6" s="334"/>
      <c r="N6" s="334"/>
      <c r="O6" s="334"/>
      <c r="P6" s="334"/>
    </row>
    <row r="7" spans="1:16" s="472" customFormat="1" ht="16.5">
      <c r="B7" s="472" t="s">
        <v>440</v>
      </c>
      <c r="C7" s="472" t="s">
        <v>441</v>
      </c>
      <c r="E7" s="60" t="s">
        <v>194</v>
      </c>
      <c r="H7" s="334"/>
      <c r="I7" s="334"/>
      <c r="J7" s="334"/>
      <c r="K7" s="334"/>
      <c r="L7" s="334"/>
      <c r="M7" s="334"/>
      <c r="N7" s="334"/>
      <c r="O7" s="334"/>
      <c r="P7" s="334"/>
    </row>
    <row r="8" spans="1:16" s="472" customFormat="1" ht="16.5">
      <c r="D8" s="102" t="s">
        <v>442</v>
      </c>
      <c r="E8" s="60" t="s">
        <v>195</v>
      </c>
      <c r="H8" s="210" t="s">
        <v>450</v>
      </c>
      <c r="I8" s="334"/>
      <c r="J8" s="334"/>
      <c r="K8" s="334"/>
      <c r="L8" s="334"/>
      <c r="M8" s="334"/>
      <c r="N8" s="334"/>
      <c r="O8" s="334"/>
      <c r="P8" s="334"/>
    </row>
    <row r="9" spans="1:16" s="472" customFormat="1" ht="16.5">
      <c r="B9" s="472" t="s">
        <v>293</v>
      </c>
      <c r="C9" s="472" t="s">
        <v>223</v>
      </c>
      <c r="D9" s="102" t="s">
        <v>222</v>
      </c>
      <c r="E9" s="60" t="s">
        <v>194</v>
      </c>
      <c r="H9" s="334"/>
      <c r="I9" s="334"/>
      <c r="J9" s="334"/>
      <c r="K9" s="334"/>
      <c r="L9" s="334"/>
      <c r="M9" s="334"/>
      <c r="N9" s="334"/>
      <c r="O9" s="334"/>
      <c r="P9" s="334"/>
    </row>
    <row r="10" spans="1:16" s="472" customFormat="1" ht="16.5">
      <c r="D10" s="574"/>
      <c r="E10" s="60" t="s">
        <v>195</v>
      </c>
      <c r="H10" s="576" t="s">
        <v>451</v>
      </c>
      <c r="I10" s="334"/>
      <c r="J10" s="334"/>
      <c r="K10" s="334"/>
      <c r="L10" s="334"/>
      <c r="M10" s="334"/>
      <c r="N10" s="334"/>
      <c r="O10" s="334"/>
      <c r="P10" s="334"/>
    </row>
    <row r="11" spans="1:16" s="472" customFormat="1" ht="16.5">
      <c r="B11" s="472" t="s">
        <v>294</v>
      </c>
      <c r="C11" s="472" t="s">
        <v>224</v>
      </c>
      <c r="D11" s="102" t="s">
        <v>222</v>
      </c>
      <c r="E11" s="60" t="s">
        <v>194</v>
      </c>
      <c r="H11" s="334"/>
      <c r="I11" s="334"/>
      <c r="J11" s="334"/>
      <c r="K11" s="334"/>
      <c r="L11" s="334"/>
      <c r="M11" s="334"/>
      <c r="N11" s="334"/>
      <c r="O11" s="334"/>
      <c r="P11" s="334"/>
    </row>
    <row r="12" spans="1:16" s="472" customFormat="1" ht="16.5">
      <c r="E12" s="60" t="s">
        <v>195</v>
      </c>
      <c r="H12" s="334"/>
      <c r="I12" s="334"/>
      <c r="J12" s="334"/>
      <c r="K12" s="334"/>
      <c r="L12" s="334"/>
      <c r="M12" s="334"/>
      <c r="N12" s="334"/>
      <c r="O12" s="334"/>
      <c r="P12" s="334"/>
    </row>
    <row r="13" spans="1:16" s="472" customFormat="1" ht="16.5">
      <c r="B13" s="472" t="s">
        <v>295</v>
      </c>
      <c r="C13" s="473" t="s">
        <v>225</v>
      </c>
      <c r="D13" s="580"/>
      <c r="E13" s="491" t="s">
        <v>194</v>
      </c>
      <c r="H13" s="334"/>
      <c r="I13" s="334"/>
      <c r="J13" s="334"/>
      <c r="K13" s="334"/>
      <c r="L13" s="334"/>
      <c r="M13" s="334"/>
      <c r="N13" s="334"/>
      <c r="O13" s="334"/>
      <c r="P13" s="334"/>
    </row>
    <row r="14" spans="1:16" s="472" customFormat="1" ht="16.5" customHeight="1">
      <c r="C14" s="473"/>
      <c r="D14" s="102" t="s">
        <v>222</v>
      </c>
      <c r="E14" s="492" t="s">
        <v>195</v>
      </c>
      <c r="H14" s="775" t="s">
        <v>462</v>
      </c>
      <c r="I14" s="775"/>
      <c r="J14" s="775"/>
      <c r="K14" s="775"/>
      <c r="L14" s="775"/>
      <c r="M14" s="775"/>
      <c r="N14" s="775"/>
      <c r="O14" s="775"/>
      <c r="P14" s="775"/>
    </row>
    <row r="15" spans="1:16" s="472" customFormat="1" ht="16.5" customHeight="1">
      <c r="C15" s="473"/>
      <c r="D15" s="379"/>
      <c r="E15" s="378"/>
      <c r="H15" s="775"/>
      <c r="I15" s="775"/>
      <c r="J15" s="775"/>
      <c r="K15" s="775"/>
      <c r="L15" s="775"/>
      <c r="M15" s="775"/>
      <c r="N15" s="775"/>
      <c r="O15" s="775"/>
      <c r="P15" s="775"/>
    </row>
    <row r="16" spans="1:16" s="472" customFormat="1" ht="15.75" customHeight="1">
      <c r="C16" s="473"/>
      <c r="D16" s="473"/>
      <c r="E16" s="364"/>
    </row>
    <row r="17" spans="1:16" s="472" customFormat="1" ht="16.5">
      <c r="A17" s="472" t="s">
        <v>226</v>
      </c>
      <c r="B17" s="771" t="s">
        <v>227</v>
      </c>
      <c r="C17" s="771"/>
      <c r="D17" s="771"/>
      <c r="E17" s="771"/>
      <c r="F17" s="771"/>
      <c r="G17" s="771"/>
      <c r="H17" s="771"/>
      <c r="I17" s="771"/>
      <c r="J17" s="771"/>
      <c r="K17" s="771"/>
      <c r="L17" s="771"/>
      <c r="M17" s="771"/>
      <c r="N17" s="771"/>
    </row>
    <row r="18" spans="1:16" s="472" customFormat="1" ht="16.5">
      <c r="B18" s="472" t="s">
        <v>228</v>
      </c>
      <c r="C18" s="473" t="s">
        <v>229</v>
      </c>
      <c r="D18" s="473"/>
      <c r="E18" s="380"/>
    </row>
    <row r="19" spans="1:16" s="472" customFormat="1" ht="16.5">
      <c r="C19" s="473" t="s">
        <v>230</v>
      </c>
      <c r="D19" s="377" t="s">
        <v>222</v>
      </c>
      <c r="E19" s="380" t="s">
        <v>231</v>
      </c>
      <c r="F19" s="574"/>
      <c r="G19" s="574"/>
      <c r="H19" s="574"/>
      <c r="I19" s="574"/>
      <c r="J19" s="574"/>
      <c r="K19" s="574"/>
      <c r="L19" s="574"/>
      <c r="M19" s="574"/>
      <c r="N19" s="574"/>
      <c r="O19" s="574"/>
      <c r="P19" s="574"/>
    </row>
    <row r="20" spans="1:16" s="472" customFormat="1" ht="16.5">
      <c r="C20" s="473"/>
      <c r="D20" s="575"/>
      <c r="E20" s="380" t="s">
        <v>232</v>
      </c>
      <c r="F20" s="574"/>
      <c r="G20" s="574"/>
      <c r="H20" s="579"/>
      <c r="I20" s="577"/>
      <c r="J20" s="577"/>
      <c r="K20" s="577"/>
      <c r="L20" s="577"/>
      <c r="M20" s="577"/>
      <c r="N20" s="577"/>
      <c r="O20" s="577"/>
      <c r="P20" s="577"/>
    </row>
    <row r="21" spans="1:16" s="472" customFormat="1" ht="16.5">
      <c r="B21" s="472" t="s">
        <v>233</v>
      </c>
      <c r="C21" s="473"/>
      <c r="D21" s="379"/>
      <c r="E21" s="380"/>
      <c r="F21" s="574"/>
      <c r="G21" s="574"/>
      <c r="H21" s="578"/>
      <c r="I21" s="578"/>
      <c r="J21" s="578"/>
      <c r="K21" s="578"/>
      <c r="L21" s="578"/>
      <c r="M21" s="578"/>
      <c r="N21" s="578"/>
      <c r="O21" s="578"/>
      <c r="P21" s="578"/>
    </row>
    <row r="22" spans="1:16" s="472" customFormat="1" ht="16.5">
      <c r="C22" s="473" t="s">
        <v>234</v>
      </c>
      <c r="D22" s="473"/>
      <c r="E22" s="380"/>
      <c r="F22" s="574"/>
      <c r="G22" s="574"/>
      <c r="H22" s="574"/>
      <c r="I22" s="574"/>
      <c r="J22" s="574"/>
      <c r="K22" s="574"/>
      <c r="L22" s="574"/>
      <c r="M22" s="574"/>
      <c r="N22" s="574"/>
      <c r="O22" s="574"/>
      <c r="P22" s="574"/>
    </row>
    <row r="23" spans="1:16" s="472" customFormat="1" ht="16.5">
      <c r="C23" s="473" t="s">
        <v>296</v>
      </c>
      <c r="D23" s="377" t="s">
        <v>222</v>
      </c>
      <c r="E23" s="380" t="s">
        <v>194</v>
      </c>
      <c r="F23" s="574"/>
      <c r="G23" s="574"/>
      <c r="H23" s="574"/>
      <c r="I23" s="574"/>
      <c r="J23" s="574"/>
      <c r="K23" s="574"/>
      <c r="L23" s="574"/>
      <c r="M23" s="574"/>
      <c r="N23" s="574"/>
      <c r="O23" s="574"/>
      <c r="P23" s="574"/>
    </row>
    <row r="24" spans="1:16" s="472" customFormat="1" ht="16.5">
      <c r="C24" s="574"/>
      <c r="D24" s="574"/>
      <c r="E24" s="60" t="s">
        <v>195</v>
      </c>
      <c r="F24" s="574"/>
      <c r="G24" s="574"/>
      <c r="H24" s="574"/>
      <c r="I24" s="574"/>
      <c r="J24" s="574"/>
      <c r="K24" s="574"/>
      <c r="L24" s="574"/>
      <c r="M24" s="574"/>
      <c r="N24" s="574"/>
      <c r="O24" s="574"/>
      <c r="P24" s="574"/>
    </row>
    <row r="25" spans="1:16" s="472" customFormat="1" ht="16.5">
      <c r="E25" s="61"/>
    </row>
    <row r="26" spans="1:16" s="472" customFormat="1" ht="16.5">
      <c r="E26" s="61"/>
    </row>
    <row r="27" spans="1:16" s="472" customFormat="1" ht="16.5">
      <c r="E27" s="61"/>
    </row>
    <row r="28" spans="1:16" s="472" customFormat="1" ht="16.5">
      <c r="E28" s="61"/>
    </row>
    <row r="29" spans="1:16" s="472" customFormat="1" ht="16.5">
      <c r="E29" s="61"/>
    </row>
    <row r="30" spans="1:16" s="472" customFormat="1" ht="16.5">
      <c r="E30" s="61"/>
    </row>
    <row r="31" spans="1:16" s="472" customFormat="1" ht="16.5">
      <c r="E31" s="61"/>
    </row>
    <row r="32" spans="1:16" s="472" customFormat="1" ht="16.5">
      <c r="E32" s="61"/>
    </row>
    <row r="33" spans="5:5" s="472" customFormat="1" ht="16.5">
      <c r="E33" s="61"/>
    </row>
    <row r="34" spans="5:5" s="472" customFormat="1" ht="16.5">
      <c r="E34" s="61"/>
    </row>
    <row r="35" spans="5:5" s="472" customFormat="1" ht="16.5">
      <c r="E35" s="61"/>
    </row>
    <row r="36" spans="5:5" s="472" customFormat="1" ht="16.5">
      <c r="E36" s="61"/>
    </row>
    <row r="37" spans="5:5" s="472" customFormat="1" ht="16.5">
      <c r="E37" s="61"/>
    </row>
    <row r="38" spans="5:5" s="472" customFormat="1" ht="16.5">
      <c r="E38" s="61"/>
    </row>
    <row r="39" spans="5:5" s="472" customFormat="1" ht="16.5">
      <c r="E39" s="61"/>
    </row>
    <row r="40" spans="5:5" s="472" customFormat="1" ht="16.5">
      <c r="E40" s="61"/>
    </row>
    <row r="41" spans="5:5" s="472" customFormat="1" ht="16.5">
      <c r="E41" s="61"/>
    </row>
    <row r="42" spans="5:5" s="472" customFormat="1" ht="16.5">
      <c r="E42" s="61"/>
    </row>
    <row r="43" spans="5:5" s="472" customFormat="1" ht="16.5">
      <c r="E43" s="61"/>
    </row>
    <row r="44" spans="5:5" s="472" customFormat="1" ht="16.5">
      <c r="E44" s="61"/>
    </row>
    <row r="45" spans="5:5" s="472" customFormat="1" ht="16.5">
      <c r="E45" s="61"/>
    </row>
    <row r="46" spans="5:5" s="472" customFormat="1" ht="16.5">
      <c r="E46" s="61"/>
    </row>
    <row r="47" spans="5:5" s="472" customFormat="1" ht="16.5">
      <c r="E47" s="61"/>
    </row>
    <row r="48" spans="5:5" s="472" customFormat="1" ht="16.5">
      <c r="E48" s="61"/>
    </row>
    <row r="49" spans="5:5" s="472" customFormat="1" ht="16.5">
      <c r="E49" s="61"/>
    </row>
    <row r="50" spans="5:5" s="472" customFormat="1" ht="16.5">
      <c r="E50" s="61"/>
    </row>
    <row r="51" spans="5:5" s="472" customFormat="1" ht="16.5">
      <c r="E51" s="61"/>
    </row>
    <row r="52" spans="5:5" s="472" customFormat="1" ht="16.5">
      <c r="E52" s="61"/>
    </row>
    <row r="53" spans="5:5" s="472" customFormat="1" ht="16.5">
      <c r="E53" s="61"/>
    </row>
    <row r="54" spans="5:5" s="472" customFormat="1" ht="16.5">
      <c r="E54" s="61"/>
    </row>
    <row r="55" spans="5:5" s="472" customFormat="1" ht="16.5">
      <c r="E55" s="61"/>
    </row>
    <row r="56" spans="5:5" s="472" customFormat="1" ht="16.5">
      <c r="E56" s="61"/>
    </row>
    <row r="57" spans="5:5" s="472" customFormat="1" ht="16.5">
      <c r="E57" s="61"/>
    </row>
    <row r="58" spans="5:5" s="472" customFormat="1" ht="16.5">
      <c r="E58" s="61"/>
    </row>
    <row r="59" spans="5:5" s="472" customFormat="1" ht="16.5">
      <c r="E59" s="61"/>
    </row>
    <row r="60" spans="5:5" s="472" customFormat="1" ht="16.5">
      <c r="E60" s="61"/>
    </row>
    <row r="61" spans="5:5" s="472" customFormat="1" ht="16.5">
      <c r="E61" s="61"/>
    </row>
    <row r="62" spans="5:5" s="472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Q17" sqref="Q17"/>
      <selection pane="topRight" activeCell="Q17" sqref="Q17"/>
      <selection pane="bottomLeft" activeCell="Q17" sqref="Q17"/>
      <selection pane="bottomRight" activeCell="Q17" sqref="Q17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08" t="str">
        <f>封面!$A$4</f>
        <v>彰化縣地方教育發展基金－彰化縣秀水鄉馬興國民小學</v>
      </c>
      <c r="B1" s="708"/>
      <c r="C1" s="708"/>
      <c r="D1" s="708"/>
      <c r="E1" s="708"/>
      <c r="F1" s="708"/>
      <c r="G1" s="708"/>
      <c r="H1" s="708"/>
      <c r="I1" s="619"/>
      <c r="J1" s="619"/>
      <c r="K1" s="619"/>
      <c r="L1" s="619"/>
      <c r="M1" s="619"/>
      <c r="N1" s="619"/>
    </row>
    <row r="2" spans="1:18" ht="19.5" hidden="1" customHeight="1">
      <c r="A2" s="327"/>
      <c r="B2" s="327"/>
      <c r="C2" s="327"/>
      <c r="D2" s="327"/>
      <c r="E2" s="327"/>
      <c r="F2" s="327"/>
      <c r="G2" s="327"/>
      <c r="H2" s="327"/>
    </row>
    <row r="3" spans="1:18" ht="14.25" hidden="1" customHeight="1"/>
    <row r="4" spans="1:18" ht="19.899999999999999" customHeight="1">
      <c r="A4" s="724" t="s">
        <v>311</v>
      </c>
      <c r="B4" s="724"/>
      <c r="C4" s="724"/>
      <c r="D4" s="724"/>
      <c r="E4" s="724"/>
      <c r="F4" s="724"/>
      <c r="G4" s="724"/>
      <c r="H4" s="724"/>
      <c r="I4" s="619"/>
      <c r="J4" s="619"/>
      <c r="K4" s="619"/>
      <c r="L4" s="619"/>
      <c r="M4" s="619"/>
      <c r="N4" s="619"/>
    </row>
    <row r="5" spans="1:18" ht="6.75" customHeight="1"/>
    <row r="6" spans="1:18" ht="16.5">
      <c r="A6" s="709" t="str">
        <f>封面!$E$10&amp;封面!$H$10&amp;封面!$I$10&amp;封面!$J$10&amp;封面!$K$10&amp;封面!$O$10&amp;"日"</f>
        <v>中華民國112年7月31日</v>
      </c>
      <c r="B6" s="709"/>
      <c r="C6" s="709"/>
      <c r="D6" s="709"/>
      <c r="E6" s="709"/>
      <c r="F6" s="709"/>
      <c r="G6" s="709"/>
      <c r="H6" s="709"/>
      <c r="I6" s="619"/>
      <c r="J6" s="619"/>
      <c r="K6" s="619"/>
      <c r="L6" s="619"/>
      <c r="M6" s="619"/>
      <c r="N6" s="619"/>
    </row>
    <row r="7" spans="1:18" ht="16.5">
      <c r="A7" s="652" t="s">
        <v>39</v>
      </c>
      <c r="B7" s="652"/>
      <c r="C7" s="652"/>
      <c r="D7" s="652"/>
      <c r="E7" s="652"/>
      <c r="F7" s="652"/>
      <c r="G7" s="652"/>
      <c r="H7" s="652"/>
      <c r="I7" s="619"/>
      <c r="J7" s="619"/>
      <c r="K7" s="619"/>
      <c r="L7" s="619"/>
      <c r="M7" s="619"/>
      <c r="N7" s="619"/>
    </row>
    <row r="8" spans="1:18" ht="6" hidden="1" customHeight="1"/>
    <row r="9" spans="1:18" s="339" customFormat="1" ht="21" customHeight="1">
      <c r="A9" s="781" t="s">
        <v>308</v>
      </c>
      <c r="B9" s="782"/>
      <c r="C9" s="782"/>
      <c r="D9" s="782"/>
      <c r="E9" s="782"/>
      <c r="F9" s="781" t="s">
        <v>198</v>
      </c>
      <c r="G9" s="782"/>
      <c r="H9" s="782"/>
      <c r="I9" s="782"/>
      <c r="J9" s="782"/>
      <c r="K9" s="782"/>
      <c r="L9" s="782"/>
      <c r="M9" s="782"/>
      <c r="N9" s="782"/>
      <c r="O9" s="338"/>
      <c r="P9" s="338"/>
      <c r="Q9" s="338"/>
      <c r="R9" s="338"/>
    </row>
    <row r="10" spans="1:18" s="339" customFormat="1" ht="21" customHeight="1">
      <c r="A10" s="782"/>
      <c r="B10" s="782"/>
      <c r="C10" s="782"/>
      <c r="D10" s="782"/>
      <c r="E10" s="782"/>
      <c r="F10" s="778" t="s">
        <v>309</v>
      </c>
      <c r="G10" s="779"/>
      <c r="H10" s="779"/>
      <c r="I10" s="780"/>
      <c r="J10" s="785" t="s">
        <v>310</v>
      </c>
      <c r="K10" s="785"/>
      <c r="L10" s="785"/>
      <c r="M10" s="785"/>
      <c r="N10" s="785"/>
    </row>
    <row r="11" spans="1:18" s="332" customFormat="1" ht="12.75" hidden="1" customHeight="1">
      <c r="A11" s="340"/>
      <c r="B11" s="341"/>
      <c r="C11" s="341"/>
      <c r="D11" s="341"/>
      <c r="E11" s="341"/>
      <c r="F11" s="7"/>
      <c r="G11" s="7"/>
      <c r="H11" s="330"/>
      <c r="I11" s="337"/>
      <c r="J11" s="342"/>
      <c r="K11" s="342"/>
      <c r="L11" s="342"/>
      <c r="M11" s="342"/>
      <c r="N11" s="343"/>
    </row>
    <row r="12" spans="1:18" s="332" customFormat="1" ht="12.75" hidden="1" customHeight="1">
      <c r="A12" s="340"/>
      <c r="B12" s="341"/>
      <c r="C12" s="341"/>
      <c r="D12" s="341"/>
      <c r="E12" s="341"/>
      <c r="F12" s="7"/>
      <c r="G12" s="7"/>
      <c r="H12" s="14"/>
      <c r="I12" s="14"/>
      <c r="J12" s="342"/>
      <c r="K12" s="342"/>
      <c r="L12" s="342"/>
      <c r="M12" s="342"/>
      <c r="N12" s="343"/>
    </row>
    <row r="13" spans="1:18" s="332" customFormat="1" ht="9" hidden="1" customHeight="1">
      <c r="A13" s="340"/>
      <c r="B13" s="341"/>
      <c r="C13" s="381"/>
      <c r="D13" s="381"/>
      <c r="E13" s="381"/>
      <c r="F13" s="7"/>
      <c r="G13" s="7"/>
      <c r="H13" s="11"/>
      <c r="I13" s="11"/>
      <c r="J13" s="342"/>
      <c r="K13" s="342"/>
      <c r="L13" s="342"/>
      <c r="M13" s="342"/>
      <c r="N13" s="343"/>
    </row>
    <row r="14" spans="1:18" s="512" customFormat="1" ht="14.85" customHeight="1">
      <c r="A14" s="783" t="s">
        <v>395</v>
      </c>
      <c r="B14" s="784"/>
      <c r="C14" s="784"/>
      <c r="D14" s="784"/>
      <c r="E14" s="505"/>
      <c r="F14" s="506"/>
      <c r="G14" s="507"/>
      <c r="H14" s="507"/>
      <c r="I14" s="508">
        <f>SUM(I15:I25)/2</f>
        <v>3187952</v>
      </c>
      <c r="J14" s="509"/>
      <c r="K14" s="510"/>
      <c r="L14" s="510"/>
      <c r="M14" s="511"/>
      <c r="N14" s="508">
        <f>I14+[2]收支!N14</f>
        <v>26257810</v>
      </c>
    </row>
    <row r="15" spans="1:18" s="512" customFormat="1" ht="14.85" customHeight="1">
      <c r="A15" s="513"/>
      <c r="B15" s="776" t="s">
        <v>396</v>
      </c>
      <c r="C15" s="776"/>
      <c r="D15" s="776"/>
      <c r="E15" s="777"/>
      <c r="F15" s="514"/>
      <c r="G15" s="515"/>
      <c r="H15" s="515"/>
      <c r="I15" s="516">
        <f>I16</f>
        <v>0</v>
      </c>
      <c r="J15" s="517"/>
      <c r="K15" s="518"/>
      <c r="L15" s="518"/>
      <c r="M15" s="519"/>
      <c r="N15" s="516">
        <f>I15+[2]收支!N15</f>
        <v>5923</v>
      </c>
    </row>
    <row r="16" spans="1:18" s="469" customFormat="1" ht="14.85" customHeight="1">
      <c r="A16" s="468"/>
      <c r="B16" s="463"/>
      <c r="C16" s="464" t="s">
        <v>397</v>
      </c>
      <c r="D16" s="464"/>
      <c r="E16" s="465"/>
      <c r="F16" s="423"/>
      <c r="G16" s="424"/>
      <c r="H16" s="424"/>
      <c r="I16" s="442"/>
      <c r="J16" s="443"/>
      <c r="K16" s="444"/>
      <c r="L16" s="444"/>
      <c r="M16" s="445"/>
      <c r="N16" s="442">
        <f>I16+[2]收支!N16</f>
        <v>5923</v>
      </c>
    </row>
    <row r="17" spans="1:14" s="512" customFormat="1" ht="14.85" customHeight="1">
      <c r="A17" s="520"/>
      <c r="B17" s="776" t="s">
        <v>329</v>
      </c>
      <c r="C17" s="776"/>
      <c r="D17" s="776"/>
      <c r="E17" s="777"/>
      <c r="F17" s="514"/>
      <c r="G17" s="515"/>
      <c r="H17" s="515"/>
      <c r="I17" s="516">
        <f>SUM(I18:I21)</f>
        <v>835952</v>
      </c>
      <c r="J17" s="517"/>
      <c r="K17" s="518"/>
      <c r="L17" s="518"/>
      <c r="M17" s="519"/>
      <c r="N17" s="516">
        <f>I17+[2]收支!N17</f>
        <v>3371027</v>
      </c>
    </row>
    <row r="18" spans="1:14" s="542" customFormat="1" ht="14.85" hidden="1" customHeight="1">
      <c r="A18" s="533"/>
      <c r="B18" s="534"/>
      <c r="C18" s="464" t="s">
        <v>444</v>
      </c>
      <c r="D18" s="534"/>
      <c r="E18" s="535"/>
      <c r="F18" s="536"/>
      <c r="G18" s="537"/>
      <c r="H18" s="537"/>
      <c r="I18" s="538"/>
      <c r="J18" s="539"/>
      <c r="K18" s="540"/>
      <c r="L18" s="540"/>
      <c r="M18" s="541"/>
      <c r="N18" s="442">
        <f>I18+[2]收支!N18</f>
        <v>0</v>
      </c>
    </row>
    <row r="19" spans="1:14" s="469" customFormat="1" ht="14.85" hidden="1" customHeight="1">
      <c r="A19" s="433"/>
      <c r="B19" s="463"/>
      <c r="C19" s="464" t="s">
        <v>398</v>
      </c>
      <c r="D19" s="464"/>
      <c r="E19" s="465"/>
      <c r="F19" s="423"/>
      <c r="G19" s="424"/>
      <c r="H19" s="424"/>
      <c r="I19" s="442"/>
      <c r="J19" s="443"/>
      <c r="K19" s="444"/>
      <c r="L19" s="444"/>
      <c r="M19" s="445"/>
      <c r="N19" s="442">
        <f>I19+[2]收支!N19</f>
        <v>0</v>
      </c>
    </row>
    <row r="20" spans="1:14" s="469" customFormat="1" ht="14.85" customHeight="1">
      <c r="A20" s="433"/>
      <c r="B20" s="463"/>
      <c r="C20" s="464" t="s">
        <v>399</v>
      </c>
      <c r="D20" s="464"/>
      <c r="E20" s="465"/>
      <c r="F20" s="423"/>
      <c r="G20" s="424"/>
      <c r="H20" s="424"/>
      <c r="I20" s="442"/>
      <c r="J20" s="443"/>
      <c r="K20" s="444"/>
      <c r="L20" s="444"/>
      <c r="M20" s="445"/>
      <c r="N20" s="442">
        <f>I20+[2]收支!N20</f>
        <v>2244385</v>
      </c>
    </row>
    <row r="21" spans="1:14" s="469" customFormat="1" ht="14.85" customHeight="1">
      <c r="A21" s="433"/>
      <c r="B21" s="463"/>
      <c r="C21" s="464" t="s">
        <v>400</v>
      </c>
      <c r="D21" s="464"/>
      <c r="E21" s="465"/>
      <c r="F21" s="423"/>
      <c r="G21" s="424"/>
      <c r="H21" s="424"/>
      <c r="I21" s="442">
        <v>835952</v>
      </c>
      <c r="J21" s="443"/>
      <c r="K21" s="444"/>
      <c r="L21" s="444"/>
      <c r="M21" s="445"/>
      <c r="N21" s="442">
        <f>I21+[2]收支!N21</f>
        <v>1126642</v>
      </c>
    </row>
    <row r="22" spans="1:14" s="522" customFormat="1" ht="14.85" customHeight="1">
      <c r="A22" s="521"/>
      <c r="B22" s="776" t="s">
        <v>401</v>
      </c>
      <c r="C22" s="776"/>
      <c r="D22" s="776"/>
      <c r="E22" s="777"/>
      <c r="F22" s="514"/>
      <c r="G22" s="515"/>
      <c r="H22" s="515"/>
      <c r="I22" s="516">
        <f>I23</f>
        <v>2352000</v>
      </c>
      <c r="J22" s="517"/>
      <c r="K22" s="518"/>
      <c r="L22" s="518"/>
      <c r="M22" s="519"/>
      <c r="N22" s="516">
        <f>I22+[2]收支!N22</f>
        <v>22880013</v>
      </c>
    </row>
    <row r="23" spans="1:14" s="470" customFormat="1" ht="14.85" customHeight="1">
      <c r="A23" s="434"/>
      <c r="B23" s="437"/>
      <c r="C23" s="438" t="s">
        <v>402</v>
      </c>
      <c r="D23" s="438"/>
      <c r="E23" s="439"/>
      <c r="F23" s="434"/>
      <c r="G23" s="435"/>
      <c r="H23" s="435"/>
      <c r="I23" s="440">
        <v>2352000</v>
      </c>
      <c r="J23" s="433"/>
      <c r="K23" s="437"/>
      <c r="L23" s="437"/>
      <c r="M23" s="441"/>
      <c r="N23" s="440">
        <f>I23+[2]收支!N23</f>
        <v>22880013</v>
      </c>
    </row>
    <row r="24" spans="1:14" s="522" customFormat="1" ht="14.85" customHeight="1">
      <c r="A24" s="521"/>
      <c r="B24" s="523" t="s">
        <v>403</v>
      </c>
      <c r="C24" s="524"/>
      <c r="D24" s="524"/>
      <c r="E24" s="525"/>
      <c r="F24" s="521"/>
      <c r="G24" s="526"/>
      <c r="H24" s="526"/>
      <c r="I24" s="527">
        <f>I25</f>
        <v>0</v>
      </c>
      <c r="J24" s="520"/>
      <c r="K24" s="523"/>
      <c r="L24" s="523"/>
      <c r="M24" s="528"/>
      <c r="N24" s="527">
        <f>I24+[2]收支!N24</f>
        <v>847</v>
      </c>
    </row>
    <row r="25" spans="1:14" s="470" customFormat="1" ht="14.85" customHeight="1">
      <c r="A25" s="434"/>
      <c r="B25" s="437"/>
      <c r="C25" s="438" t="s">
        <v>404</v>
      </c>
      <c r="D25" s="438"/>
      <c r="E25" s="439"/>
      <c r="F25" s="434"/>
      <c r="G25" s="435"/>
      <c r="H25" s="435"/>
      <c r="I25" s="440"/>
      <c r="J25" s="433"/>
      <c r="K25" s="437"/>
      <c r="L25" s="437"/>
      <c r="M25" s="441"/>
      <c r="N25" s="440">
        <f>I25+[2]收支!N25</f>
        <v>847</v>
      </c>
    </row>
    <row r="26" spans="1:14" s="522" customFormat="1" ht="14.85" customHeight="1">
      <c r="A26" s="790" t="s">
        <v>330</v>
      </c>
      <c r="B26" s="776"/>
      <c r="C26" s="776"/>
      <c r="D26" s="776"/>
      <c r="E26" s="529"/>
      <c r="F26" s="514"/>
      <c r="G26" s="515"/>
      <c r="H26" s="515"/>
      <c r="I26" s="516">
        <f>SUM(I27:I36)/2</f>
        <v>2881104</v>
      </c>
      <c r="J26" s="517"/>
      <c r="K26" s="518"/>
      <c r="L26" s="518"/>
      <c r="M26" s="519"/>
      <c r="N26" s="516">
        <f>I26+[2]收支!N26</f>
        <v>23484257</v>
      </c>
    </row>
    <row r="27" spans="1:14" s="522" customFormat="1" ht="14.85" customHeight="1">
      <c r="A27" s="521"/>
      <c r="B27" s="776" t="s">
        <v>405</v>
      </c>
      <c r="C27" s="776"/>
      <c r="D27" s="776"/>
      <c r="E27" s="777"/>
      <c r="F27" s="514"/>
      <c r="G27" s="515"/>
      <c r="H27" s="515"/>
      <c r="I27" s="516">
        <f>I28</f>
        <v>2212880</v>
      </c>
      <c r="J27" s="517"/>
      <c r="K27" s="518"/>
      <c r="L27" s="518"/>
      <c r="M27" s="519"/>
      <c r="N27" s="516">
        <f>I27+[2]收支!N27</f>
        <v>20700348</v>
      </c>
    </row>
    <row r="28" spans="1:14" s="470" customFormat="1" ht="14.85" customHeight="1">
      <c r="A28" s="434"/>
      <c r="B28" s="463"/>
      <c r="C28" s="464" t="s">
        <v>405</v>
      </c>
      <c r="D28" s="464"/>
      <c r="E28" s="465"/>
      <c r="F28" s="423"/>
      <c r="G28" s="424"/>
      <c r="H28" s="424"/>
      <c r="I28" s="442">
        <v>2212880</v>
      </c>
      <c r="J28" s="443"/>
      <c r="K28" s="444"/>
      <c r="L28" s="444"/>
      <c r="M28" s="445"/>
      <c r="N28" s="442">
        <f>I28+[2]收支!N28</f>
        <v>20700348</v>
      </c>
    </row>
    <row r="29" spans="1:14" s="522" customFormat="1" ht="14.85" customHeight="1">
      <c r="A29" s="521"/>
      <c r="B29" s="776" t="s">
        <v>406</v>
      </c>
      <c r="C29" s="776"/>
      <c r="D29" s="776"/>
      <c r="E29" s="777"/>
      <c r="F29" s="514"/>
      <c r="G29" s="515"/>
      <c r="H29" s="515"/>
      <c r="I29" s="516">
        <f>I30</f>
        <v>397635</v>
      </c>
      <c r="J29" s="517"/>
      <c r="K29" s="518"/>
      <c r="L29" s="518"/>
      <c r="M29" s="519"/>
      <c r="N29" s="516">
        <f>I29+[2]收支!N29</f>
        <v>919875</v>
      </c>
    </row>
    <row r="30" spans="1:14" s="470" customFormat="1" ht="14.85" customHeight="1">
      <c r="A30" s="434"/>
      <c r="B30" s="463"/>
      <c r="C30" s="464" t="s">
        <v>406</v>
      </c>
      <c r="D30" s="464"/>
      <c r="E30" s="465"/>
      <c r="F30" s="423"/>
      <c r="G30" s="424"/>
      <c r="H30" s="424"/>
      <c r="I30" s="442">
        <v>397635</v>
      </c>
      <c r="J30" s="443"/>
      <c r="K30" s="444"/>
      <c r="L30" s="444"/>
      <c r="M30" s="445"/>
      <c r="N30" s="442">
        <f>I30+[2]收支!N30</f>
        <v>919875</v>
      </c>
    </row>
    <row r="31" spans="1:14" s="522" customFormat="1" ht="14.85" customHeight="1">
      <c r="A31" s="521"/>
      <c r="B31" s="530" t="s">
        <v>407</v>
      </c>
      <c r="C31" s="531"/>
      <c r="D31" s="531"/>
      <c r="E31" s="532"/>
      <c r="F31" s="514"/>
      <c r="G31" s="515"/>
      <c r="H31" s="515"/>
      <c r="I31" s="516">
        <f>I32</f>
        <v>0</v>
      </c>
      <c r="J31" s="517"/>
      <c r="K31" s="518"/>
      <c r="L31" s="518"/>
      <c r="M31" s="519"/>
      <c r="N31" s="516">
        <f>I31+[2]收支!N31</f>
        <v>649</v>
      </c>
    </row>
    <row r="32" spans="1:14" s="470" customFormat="1" ht="14.85" customHeight="1">
      <c r="A32" s="434"/>
      <c r="B32" s="463"/>
      <c r="C32" s="464" t="s">
        <v>408</v>
      </c>
      <c r="D32" s="464"/>
      <c r="E32" s="465"/>
      <c r="F32" s="423"/>
      <c r="G32" s="424"/>
      <c r="H32" s="424"/>
      <c r="I32" s="442"/>
      <c r="J32" s="443"/>
      <c r="K32" s="444"/>
      <c r="L32" s="444"/>
      <c r="M32" s="445"/>
      <c r="N32" s="442">
        <f>I32+[2]收支!N32</f>
        <v>649</v>
      </c>
    </row>
    <row r="33" spans="1:14" s="522" customFormat="1" ht="14.85" customHeight="1">
      <c r="A33" s="521"/>
      <c r="B33" s="776" t="s">
        <v>409</v>
      </c>
      <c r="C33" s="776"/>
      <c r="D33" s="776"/>
      <c r="E33" s="777"/>
      <c r="F33" s="514"/>
      <c r="G33" s="515"/>
      <c r="H33" s="515"/>
      <c r="I33" s="516">
        <f>I34</f>
        <v>270589</v>
      </c>
      <c r="J33" s="517"/>
      <c r="K33" s="518"/>
      <c r="L33" s="518"/>
      <c r="M33" s="519"/>
      <c r="N33" s="516">
        <f>I33+[2]收支!N33</f>
        <v>1863065</v>
      </c>
    </row>
    <row r="34" spans="1:14" s="470" customFormat="1" ht="14.85" customHeight="1">
      <c r="A34" s="434"/>
      <c r="B34" s="437"/>
      <c r="C34" s="438" t="s">
        <v>410</v>
      </c>
      <c r="D34" s="438"/>
      <c r="E34" s="439"/>
      <c r="F34" s="434"/>
      <c r="G34" s="435"/>
      <c r="H34" s="435"/>
      <c r="I34" s="442">
        <v>270589</v>
      </c>
      <c r="J34" s="433"/>
      <c r="K34" s="437"/>
      <c r="L34" s="437"/>
      <c r="M34" s="441"/>
      <c r="N34" s="442">
        <f>I34+[2]收支!N34</f>
        <v>1863065</v>
      </c>
    </row>
    <row r="35" spans="1:14" s="522" customFormat="1" ht="14.85" customHeight="1">
      <c r="A35" s="521"/>
      <c r="B35" s="523" t="s">
        <v>411</v>
      </c>
      <c r="C35" s="524"/>
      <c r="D35" s="524"/>
      <c r="E35" s="525"/>
      <c r="F35" s="521"/>
      <c r="G35" s="526"/>
      <c r="H35" s="526"/>
      <c r="I35" s="516">
        <f>I36</f>
        <v>0</v>
      </c>
      <c r="J35" s="520"/>
      <c r="K35" s="523"/>
      <c r="L35" s="523"/>
      <c r="M35" s="528"/>
      <c r="N35" s="516">
        <f>I35+[2]收支!N35</f>
        <v>320</v>
      </c>
    </row>
    <row r="36" spans="1:14" s="470" customFormat="1" ht="14.85" customHeight="1">
      <c r="A36" s="434"/>
      <c r="B36" s="437"/>
      <c r="C36" s="438" t="s">
        <v>411</v>
      </c>
      <c r="D36" s="438"/>
      <c r="E36" s="439"/>
      <c r="F36" s="434"/>
      <c r="G36" s="435"/>
      <c r="H36" s="435"/>
      <c r="I36" s="442"/>
      <c r="J36" s="433"/>
      <c r="K36" s="437"/>
      <c r="L36" s="437"/>
      <c r="M36" s="441"/>
      <c r="N36" s="442">
        <f>I36+[2]收支!N36</f>
        <v>320</v>
      </c>
    </row>
    <row r="37" spans="1:14" s="522" customFormat="1" ht="14.85" customHeight="1">
      <c r="A37" s="791" t="s">
        <v>412</v>
      </c>
      <c r="B37" s="792"/>
      <c r="C37" s="793"/>
      <c r="D37" s="793"/>
      <c r="E37" s="529"/>
      <c r="F37" s="514"/>
      <c r="G37" s="515"/>
      <c r="H37" s="515"/>
      <c r="I37" s="516">
        <f>I14-I26</f>
        <v>306848</v>
      </c>
      <c r="J37" s="517"/>
      <c r="K37" s="518"/>
      <c r="L37" s="518"/>
      <c r="M37" s="519"/>
      <c r="N37" s="516">
        <f>I37+[2]收支!N37</f>
        <v>2773553</v>
      </c>
    </row>
    <row r="38" spans="1:14" s="470" customFormat="1" ht="14.85" customHeight="1">
      <c r="A38" s="786" t="s">
        <v>331</v>
      </c>
      <c r="B38" s="787"/>
      <c r="C38" s="787"/>
      <c r="D38" s="787"/>
      <c r="E38" s="436"/>
      <c r="F38" s="346"/>
      <c r="G38" s="347"/>
      <c r="H38" s="348"/>
      <c r="I38" s="442"/>
      <c r="J38" s="443"/>
      <c r="K38" s="444"/>
      <c r="L38" s="444"/>
      <c r="M38" s="445"/>
      <c r="N38" s="563">
        <f>I38+[3]收支!N40</f>
        <v>42779832</v>
      </c>
    </row>
    <row r="39" spans="1:14" s="470" customFormat="1" ht="14.85" customHeight="1">
      <c r="A39" s="786" t="s">
        <v>332</v>
      </c>
      <c r="B39" s="787"/>
      <c r="C39" s="787"/>
      <c r="D39" s="787"/>
      <c r="E39" s="436"/>
      <c r="F39" s="349"/>
      <c r="G39" s="347"/>
      <c r="H39" s="350"/>
      <c r="I39" s="442"/>
      <c r="J39" s="433"/>
      <c r="K39" s="437"/>
      <c r="L39" s="437"/>
      <c r="M39" s="441"/>
      <c r="N39" s="442">
        <f>I39+[3]收支!N39</f>
        <v>0</v>
      </c>
    </row>
    <row r="40" spans="1:14" s="504" customFormat="1" ht="14.85" customHeight="1">
      <c r="A40" s="788" t="s">
        <v>413</v>
      </c>
      <c r="B40" s="789"/>
      <c r="C40" s="789"/>
      <c r="D40" s="789"/>
      <c r="E40" s="496"/>
      <c r="F40" s="497"/>
      <c r="G40" s="498"/>
      <c r="H40" s="499"/>
      <c r="I40" s="500">
        <f>I37+I38-I39</f>
        <v>306848</v>
      </c>
      <c r="J40" s="501"/>
      <c r="K40" s="502"/>
      <c r="L40" s="502"/>
      <c r="M40" s="503"/>
      <c r="N40" s="500">
        <f>N37+N38-N39</f>
        <v>45553385</v>
      </c>
    </row>
    <row r="41" spans="1:14" s="469" customFormat="1" ht="12.75" hidden="1" customHeight="1">
      <c r="A41" s="351"/>
      <c r="B41" s="351"/>
      <c r="C41" s="351"/>
      <c r="D41" s="351"/>
      <c r="E41" s="470"/>
      <c r="F41" s="470"/>
      <c r="G41" s="470"/>
      <c r="H41" s="470"/>
      <c r="I41" s="470">
        <v>0</v>
      </c>
    </row>
    <row r="42" spans="1:14" s="470" customFormat="1" ht="16.5">
      <c r="A42" s="351" t="s">
        <v>414</v>
      </c>
      <c r="B42" s="351"/>
      <c r="C42" s="351" t="s">
        <v>769</v>
      </c>
      <c r="D42" s="351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9" activePane="bottomRight" state="frozen"/>
      <selection activeCell="Q17" sqref="Q17"/>
      <selection pane="topRight" activeCell="Q17" sqref="Q17"/>
      <selection pane="bottomLeft" activeCell="Q17" sqref="Q17"/>
      <selection pane="bottomRight" activeCell="Q17" sqref="Q17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8" t="str">
        <f>封面!$A$4</f>
        <v>彰化縣地方教育發展基金－彰化縣秀水鄉馬興國民小學</v>
      </c>
      <c r="B1" s="708"/>
      <c r="C1" s="708"/>
      <c r="D1" s="708"/>
      <c r="E1" s="708"/>
      <c r="F1" s="708"/>
      <c r="G1" s="619"/>
      <c r="H1" s="619"/>
      <c r="I1" s="619"/>
    </row>
    <row r="2" spans="1:10" ht="19.5" hidden="1" customHeight="1">
      <c r="A2" s="327"/>
      <c r="B2" s="327"/>
      <c r="C2" s="327"/>
      <c r="D2" s="327"/>
      <c r="E2" s="327"/>
      <c r="F2" s="327"/>
    </row>
    <row r="3" spans="1:10" ht="14.25" hidden="1" customHeight="1"/>
    <row r="4" spans="1:10" ht="21">
      <c r="A4" s="724" t="s">
        <v>312</v>
      </c>
      <c r="B4" s="724"/>
      <c r="C4" s="724"/>
      <c r="D4" s="724"/>
      <c r="E4" s="724"/>
      <c r="F4" s="724"/>
      <c r="G4" s="619"/>
      <c r="H4" s="619"/>
      <c r="I4" s="619"/>
    </row>
    <row r="5" spans="1:10" ht="6.75" customHeight="1"/>
    <row r="6" spans="1:10" ht="16.5">
      <c r="A6" s="709" t="str">
        <f>封面!$E$10&amp;封面!$H$10&amp;封面!$I$10&amp;封面!$J$10&amp;封面!$K$10&amp;封面!L10</f>
        <v>中華民國112年7月份</v>
      </c>
      <c r="B6" s="709"/>
      <c r="C6" s="709"/>
      <c r="D6" s="709"/>
      <c r="E6" s="709"/>
      <c r="F6" s="709"/>
      <c r="G6" s="619"/>
      <c r="H6" s="619"/>
      <c r="I6" s="619"/>
    </row>
    <row r="7" spans="1:10" ht="16.5">
      <c r="A7" s="652" t="s">
        <v>39</v>
      </c>
      <c r="B7" s="652"/>
      <c r="C7" s="652"/>
      <c r="D7" s="652"/>
      <c r="E7" s="652"/>
      <c r="F7" s="652"/>
      <c r="G7" s="619"/>
      <c r="H7" s="619"/>
      <c r="I7" s="619"/>
    </row>
    <row r="8" spans="1:10" ht="6" customHeight="1"/>
    <row r="9" spans="1:10" s="352" customFormat="1" ht="42.75" customHeight="1">
      <c r="A9" s="782" t="s">
        <v>313</v>
      </c>
      <c r="B9" s="782"/>
      <c r="C9" s="353" t="s">
        <v>314</v>
      </c>
      <c r="D9" s="354" t="s">
        <v>315</v>
      </c>
      <c r="E9" s="354" t="s">
        <v>316</v>
      </c>
      <c r="F9" s="354"/>
      <c r="G9" s="782" t="s">
        <v>317</v>
      </c>
      <c r="H9" s="740"/>
      <c r="I9" s="740"/>
    </row>
    <row r="10" spans="1:10" s="332" customFormat="1" ht="12.75" hidden="1" customHeight="1">
      <c r="A10" s="355"/>
      <c r="B10" s="355"/>
      <c r="C10" s="356"/>
      <c r="D10" s="356"/>
      <c r="E10" s="329"/>
      <c r="F10" s="329"/>
      <c r="G10" s="797" t="s">
        <v>317</v>
      </c>
      <c r="H10" s="758"/>
      <c r="I10" s="758"/>
    </row>
    <row r="11" spans="1:10" s="332" customFormat="1" ht="12.75" hidden="1" customHeight="1">
      <c r="A11" s="355"/>
      <c r="B11" s="355"/>
      <c r="C11" s="356"/>
      <c r="D11" s="356"/>
      <c r="E11" s="356"/>
      <c r="F11" s="356"/>
      <c r="G11" s="797" t="s">
        <v>317</v>
      </c>
      <c r="H11" s="758"/>
      <c r="I11" s="758"/>
    </row>
    <row r="12" spans="1:10" s="332" customFormat="1" ht="9" hidden="1" customHeight="1">
      <c r="A12" s="355"/>
      <c r="B12" s="355"/>
      <c r="C12" s="356"/>
      <c r="D12" s="356"/>
      <c r="E12" s="356"/>
      <c r="F12" s="356"/>
      <c r="G12" s="797" t="s">
        <v>317</v>
      </c>
      <c r="H12" s="758"/>
      <c r="I12" s="758"/>
    </row>
    <row r="13" spans="1:10" s="469" customFormat="1" ht="16.5">
      <c r="A13" s="799" t="s">
        <v>415</v>
      </c>
      <c r="B13" s="799"/>
      <c r="C13" s="453">
        <f>SUM(C14:C17)</f>
        <v>22887974</v>
      </c>
      <c r="D13" s="453">
        <f t="shared" ref="D13:E13" si="0">SUM(D14:D17)</f>
        <v>3369836</v>
      </c>
      <c r="E13" s="453">
        <f t="shared" si="0"/>
        <v>26257810</v>
      </c>
      <c r="F13" s="357"/>
      <c r="G13" s="795" t="s">
        <v>416</v>
      </c>
      <c r="H13" s="798"/>
      <c r="I13" s="796"/>
      <c r="J13" s="469">
        <f>D13</f>
        <v>3369836</v>
      </c>
    </row>
    <row r="14" spans="1:10" s="469" customFormat="1" ht="16.5">
      <c r="A14" s="344"/>
      <c r="B14" s="467" t="s">
        <v>417</v>
      </c>
      <c r="C14" s="446">
        <v>5923</v>
      </c>
      <c r="D14" s="446"/>
      <c r="E14" s="454">
        <f>C14+D14</f>
        <v>5923</v>
      </c>
      <c r="F14" s="357"/>
      <c r="G14" s="345"/>
      <c r="H14" s="798" t="s">
        <v>417</v>
      </c>
      <c r="I14" s="796"/>
      <c r="J14" s="469">
        <f t="shared" ref="J14:J31" si="1">D14</f>
        <v>0</v>
      </c>
    </row>
    <row r="15" spans="1:10" s="469" customFormat="1" ht="16.5">
      <c r="A15" s="344"/>
      <c r="B15" s="467" t="s">
        <v>418</v>
      </c>
      <c r="C15" s="446">
        <v>1191</v>
      </c>
      <c r="D15" s="446">
        <v>3369836</v>
      </c>
      <c r="E15" s="454">
        <f t="shared" ref="E15:E16" si="2">C15+D15</f>
        <v>3371027</v>
      </c>
      <c r="F15" s="357"/>
      <c r="G15" s="345"/>
      <c r="H15" s="798" t="s">
        <v>419</v>
      </c>
      <c r="I15" s="796"/>
      <c r="J15" s="469">
        <f t="shared" si="1"/>
        <v>3369836</v>
      </c>
    </row>
    <row r="16" spans="1:10" s="469" customFormat="1" ht="16.5">
      <c r="A16" s="344"/>
      <c r="B16" s="467" t="s">
        <v>420</v>
      </c>
      <c r="C16" s="446">
        <v>22880013</v>
      </c>
      <c r="D16" s="446"/>
      <c r="E16" s="454">
        <f t="shared" si="2"/>
        <v>22880013</v>
      </c>
      <c r="F16" s="357"/>
      <c r="G16" s="345"/>
      <c r="H16" s="798" t="s">
        <v>20</v>
      </c>
      <c r="I16" s="796"/>
      <c r="J16" s="469">
        <f t="shared" si="1"/>
        <v>0</v>
      </c>
    </row>
    <row r="17" spans="1:10" s="470" customFormat="1" ht="16.5">
      <c r="A17" s="344"/>
      <c r="B17" s="467" t="s">
        <v>421</v>
      </c>
      <c r="C17" s="446">
        <v>847</v>
      </c>
      <c r="D17" s="446"/>
      <c r="E17" s="454">
        <f>C17+D17</f>
        <v>847</v>
      </c>
      <c r="F17" s="357"/>
      <c r="G17" s="345"/>
      <c r="H17" s="798" t="s">
        <v>422</v>
      </c>
      <c r="I17" s="796"/>
      <c r="J17" s="469">
        <f t="shared" si="1"/>
        <v>0</v>
      </c>
    </row>
    <row r="18" spans="1:10" s="470" customFormat="1" ht="16.5">
      <c r="A18" s="795" t="s">
        <v>423</v>
      </c>
      <c r="B18" s="796"/>
      <c r="C18" s="455">
        <f>SUM(C19:C27)</f>
        <v>21620543</v>
      </c>
      <c r="D18" s="455">
        <f t="shared" ref="D18:E18" si="3">SUM(D19:D27)</f>
        <v>1863714</v>
      </c>
      <c r="E18" s="455">
        <f t="shared" si="3"/>
        <v>23484257</v>
      </c>
      <c r="F18" s="358"/>
      <c r="G18" s="795" t="s">
        <v>424</v>
      </c>
      <c r="H18" s="798"/>
      <c r="I18" s="796"/>
      <c r="J18" s="469">
        <f t="shared" si="1"/>
        <v>1863714</v>
      </c>
    </row>
    <row r="19" spans="1:10" s="470" customFormat="1" ht="16.5">
      <c r="A19" s="344"/>
      <c r="B19" s="467" t="s">
        <v>425</v>
      </c>
      <c r="C19" s="446">
        <v>20700348</v>
      </c>
      <c r="D19" s="446"/>
      <c r="E19" s="454">
        <f>C19+D19</f>
        <v>20700348</v>
      </c>
      <c r="F19" s="357"/>
      <c r="G19" s="345"/>
      <c r="H19" s="798" t="s">
        <v>426</v>
      </c>
      <c r="I19" s="796"/>
      <c r="J19" s="469">
        <f t="shared" si="1"/>
        <v>0</v>
      </c>
    </row>
    <row r="20" spans="1:10" s="470" customFormat="1" ht="16.5">
      <c r="A20" s="344"/>
      <c r="B20" s="467" t="s">
        <v>427</v>
      </c>
      <c r="C20" s="446">
        <v>507133</v>
      </c>
      <c r="D20" s="446">
        <v>412742</v>
      </c>
      <c r="E20" s="454">
        <f>C20+D20</f>
        <v>919875</v>
      </c>
      <c r="F20" s="357"/>
      <c r="G20" s="345"/>
      <c r="H20" s="466" t="s">
        <v>428</v>
      </c>
      <c r="I20" s="467"/>
      <c r="J20" s="469"/>
    </row>
    <row r="21" spans="1:10" s="470" customFormat="1" ht="16.5">
      <c r="A21" s="344"/>
      <c r="B21" s="467" t="s">
        <v>429</v>
      </c>
      <c r="C21" s="446">
        <v>35112</v>
      </c>
      <c r="D21" s="446">
        <v>-35112</v>
      </c>
      <c r="E21" s="454">
        <f t="shared" ref="E21:E31" si="4">C21+D21</f>
        <v>0</v>
      </c>
      <c r="F21" s="357"/>
      <c r="G21" s="345"/>
      <c r="H21" s="466"/>
      <c r="I21" s="467"/>
      <c r="J21" s="469"/>
    </row>
    <row r="22" spans="1:10" s="470" customFormat="1" ht="16.5">
      <c r="A22" s="344"/>
      <c r="B22" s="467" t="s">
        <v>430</v>
      </c>
      <c r="C22" s="446">
        <v>367190</v>
      </c>
      <c r="D22" s="446">
        <v>-367190</v>
      </c>
      <c r="E22" s="454">
        <f t="shared" si="4"/>
        <v>0</v>
      </c>
      <c r="F22" s="357"/>
      <c r="G22" s="345"/>
      <c r="H22" s="466"/>
      <c r="I22" s="467"/>
      <c r="J22" s="469"/>
    </row>
    <row r="23" spans="1:10" s="470" customFormat="1" ht="16.5">
      <c r="A23" s="344"/>
      <c r="B23" s="467" t="s">
        <v>431</v>
      </c>
      <c r="C23" s="446"/>
      <c r="D23" s="446"/>
      <c r="E23" s="454">
        <f t="shared" si="4"/>
        <v>0</v>
      </c>
      <c r="F23" s="357"/>
      <c r="G23" s="345"/>
      <c r="H23" s="466"/>
      <c r="I23" s="467"/>
      <c r="J23" s="469"/>
    </row>
    <row r="24" spans="1:10" s="470" customFormat="1" ht="33">
      <c r="A24" s="344"/>
      <c r="B24" s="467" t="s">
        <v>432</v>
      </c>
      <c r="C24" s="446">
        <v>10440</v>
      </c>
      <c r="D24" s="446">
        <v>-10440</v>
      </c>
      <c r="E24" s="454">
        <f t="shared" si="4"/>
        <v>0</v>
      </c>
      <c r="F24" s="357"/>
      <c r="G24" s="345"/>
      <c r="H24" s="466"/>
      <c r="I24" s="467"/>
      <c r="J24" s="469"/>
    </row>
    <row r="25" spans="1:10" s="470" customFormat="1" ht="16.5">
      <c r="A25" s="344"/>
      <c r="B25" s="467"/>
      <c r="C25" s="446"/>
      <c r="D25" s="446">
        <v>649</v>
      </c>
      <c r="E25" s="454">
        <f t="shared" si="4"/>
        <v>649</v>
      </c>
      <c r="F25" s="357"/>
      <c r="G25" s="345"/>
      <c r="H25" s="466" t="s">
        <v>433</v>
      </c>
      <c r="I25" s="467"/>
      <c r="J25" s="469"/>
    </row>
    <row r="26" spans="1:10" s="470" customFormat="1" ht="16.5">
      <c r="A26" s="344"/>
      <c r="B26" s="360"/>
      <c r="C26" s="446"/>
      <c r="D26" s="446">
        <v>1863065</v>
      </c>
      <c r="E26" s="454">
        <f t="shared" si="4"/>
        <v>1863065</v>
      </c>
      <c r="F26" s="357"/>
      <c r="G26" s="345"/>
      <c r="H26" s="798" t="s">
        <v>434</v>
      </c>
      <c r="I26" s="796"/>
      <c r="J26" s="469">
        <f t="shared" si="1"/>
        <v>1863065</v>
      </c>
    </row>
    <row r="27" spans="1:10" s="470" customFormat="1" ht="16.5">
      <c r="A27" s="344"/>
      <c r="B27" s="360" t="s">
        <v>435</v>
      </c>
      <c r="C27" s="446">
        <v>320</v>
      </c>
      <c r="D27" s="446"/>
      <c r="E27" s="454">
        <f t="shared" si="4"/>
        <v>320</v>
      </c>
      <c r="F27" s="357"/>
      <c r="G27" s="345"/>
      <c r="H27" s="466" t="s">
        <v>436</v>
      </c>
      <c r="I27" s="467"/>
      <c r="J27" s="469"/>
    </row>
    <row r="28" spans="1:10" s="470" customFormat="1" ht="16.5">
      <c r="A28" s="794" t="s">
        <v>333</v>
      </c>
      <c r="B28" s="794"/>
      <c r="C28" s="453">
        <f>C13-C18</f>
        <v>1267431</v>
      </c>
      <c r="D28" s="453">
        <f t="shared" ref="D28:E28" si="5">D13-D18</f>
        <v>1506122</v>
      </c>
      <c r="E28" s="453">
        <f t="shared" si="5"/>
        <v>2773553</v>
      </c>
      <c r="F28" s="357"/>
      <c r="G28" s="800" t="s">
        <v>333</v>
      </c>
      <c r="H28" s="801"/>
      <c r="I28" s="802"/>
      <c r="J28" s="469">
        <f t="shared" si="1"/>
        <v>1506122</v>
      </c>
    </row>
    <row r="29" spans="1:10" s="470" customFormat="1" ht="16.5">
      <c r="A29" s="794" t="s">
        <v>24</v>
      </c>
      <c r="B29" s="794"/>
      <c r="C29" s="562">
        <f>[3]對照表!C31</f>
        <v>1741563</v>
      </c>
      <c r="D29" s="562">
        <f>[3]對照表!D31</f>
        <v>41038269</v>
      </c>
      <c r="E29" s="455">
        <f t="shared" si="4"/>
        <v>42779832</v>
      </c>
      <c r="F29" s="358"/>
      <c r="G29" s="800" t="s">
        <v>331</v>
      </c>
      <c r="H29" s="801"/>
      <c r="I29" s="802"/>
      <c r="J29" s="469">
        <f t="shared" si="1"/>
        <v>41038269</v>
      </c>
    </row>
    <row r="30" spans="1:10" s="470" customFormat="1" ht="16.5">
      <c r="A30" s="794" t="s">
        <v>332</v>
      </c>
      <c r="B30" s="794"/>
      <c r="C30" s="452"/>
      <c r="D30" s="452"/>
      <c r="E30" s="453">
        <f t="shared" si="4"/>
        <v>0</v>
      </c>
      <c r="F30" s="357"/>
      <c r="G30" s="800" t="s">
        <v>332</v>
      </c>
      <c r="H30" s="801"/>
      <c r="I30" s="802"/>
      <c r="J30" s="469">
        <f t="shared" si="1"/>
        <v>0</v>
      </c>
    </row>
    <row r="31" spans="1:10" s="470" customFormat="1" ht="16.5">
      <c r="A31" s="803" t="s">
        <v>26</v>
      </c>
      <c r="B31" s="803"/>
      <c r="C31" s="456">
        <f>C28+C29-C30</f>
        <v>3008994</v>
      </c>
      <c r="D31" s="456">
        <f t="shared" ref="D31" si="6">D28+D29-D30</f>
        <v>42544391</v>
      </c>
      <c r="E31" s="456">
        <f t="shared" si="4"/>
        <v>45553385</v>
      </c>
      <c r="F31" s="359"/>
      <c r="G31" s="804" t="s">
        <v>334</v>
      </c>
      <c r="H31" s="805"/>
      <c r="I31" s="806"/>
      <c r="J31" s="469">
        <f t="shared" si="1"/>
        <v>42544391</v>
      </c>
    </row>
    <row r="32" spans="1:10" s="469" customFormat="1" ht="12.75" hidden="1" customHeight="1">
      <c r="A32" s="470"/>
      <c r="B32" s="470"/>
      <c r="C32" s="470"/>
      <c r="D32" s="470"/>
      <c r="E32" s="470"/>
      <c r="F32" s="470"/>
      <c r="G32" s="470"/>
      <c r="H32" s="470"/>
    </row>
    <row r="33" spans="1:1" s="470" customFormat="1" ht="19.5" customHeight="1">
      <c r="A33" s="351" t="s">
        <v>437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Q17" sqref="Q17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08" t="str">
        <f>封面!$A$4</f>
        <v>彰化縣地方教育發展基金－彰化縣秀水鄉馬興國民小學</v>
      </c>
      <c r="B1" s="809"/>
      <c r="C1" s="809"/>
    </row>
    <row r="2" spans="1:5" ht="25.5" customHeight="1">
      <c r="A2" s="810" t="s">
        <v>70</v>
      </c>
      <c r="B2" s="810"/>
      <c r="C2" s="810"/>
    </row>
    <row r="3" spans="1:5" ht="24" customHeight="1">
      <c r="A3" s="811" t="str">
        <f>封面!$E$10&amp;封面!$H$10&amp;封面!$I$10&amp;封面!$J$10&amp;封面!$K$10&amp;封面!$O$10&amp;"日"</f>
        <v>中華民國112年7月31日</v>
      </c>
      <c r="B3" s="811"/>
      <c r="C3" s="811"/>
    </row>
    <row r="4" spans="1:5" s="25" customFormat="1" ht="23.25" customHeight="1">
      <c r="A4" s="812"/>
      <c r="B4" s="812" t="s">
        <v>71</v>
      </c>
      <c r="C4" s="812"/>
    </row>
    <row r="5" spans="1:5" s="25" customFormat="1" ht="23.25" customHeight="1">
      <c r="A5" s="812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2968994</v>
      </c>
    </row>
    <row r="7" spans="1:5" ht="24" customHeight="1">
      <c r="A7" s="218" t="s">
        <v>196</v>
      </c>
      <c r="B7" s="110">
        <f>VLOOKUP("銀行存款-縣庫存款",平衡!$E$13:$H$41,4,0)</f>
        <v>2968994</v>
      </c>
      <c r="C7" s="112"/>
    </row>
    <row r="8" spans="1:5" ht="24" customHeight="1">
      <c r="A8" s="103" t="s">
        <v>152</v>
      </c>
      <c r="B8" s="110"/>
      <c r="C8" s="376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19"/>
      <c r="B11" s="110"/>
      <c r="C11" s="112"/>
    </row>
    <row r="12" spans="1:5" ht="24" customHeight="1">
      <c r="A12" s="219"/>
      <c r="B12" s="110"/>
      <c r="C12" s="112"/>
    </row>
    <row r="13" spans="1:5" ht="24" customHeight="1">
      <c r="A13" s="219"/>
      <c r="B13" s="110"/>
      <c r="C13" s="362"/>
      <c r="D13" s="363"/>
      <c r="E13" s="363"/>
    </row>
    <row r="14" spans="1:5" ht="24" customHeight="1">
      <c r="A14" s="219"/>
      <c r="B14" s="110"/>
      <c r="C14" s="362"/>
      <c r="D14" s="363"/>
      <c r="E14" s="363"/>
    </row>
    <row r="15" spans="1:5" ht="24" customHeight="1">
      <c r="A15" s="27" t="s">
        <v>77</v>
      </c>
      <c r="B15" s="110"/>
      <c r="C15" s="376">
        <f>SUM(B16:B17)</f>
        <v>5723000</v>
      </c>
      <c r="D15" s="363"/>
      <c r="E15" s="363"/>
    </row>
    <row r="16" spans="1:5" ht="24" customHeight="1">
      <c r="A16" s="279" t="str">
        <f>IF(B16&gt;0,封面!J10+1&amp;"月公庫撥款收入","")</f>
        <v>8月公庫撥款收入</v>
      </c>
      <c r="B16" s="110">
        <f>縣庫對帳!G11</f>
        <v>5723000</v>
      </c>
      <c r="C16" s="362"/>
      <c r="D16" s="363"/>
      <c r="E16" s="363"/>
    </row>
    <row r="17" spans="1:5" ht="24" customHeight="1">
      <c r="A17" s="218"/>
      <c r="B17" s="110"/>
      <c r="C17" s="362"/>
      <c r="D17" s="363"/>
      <c r="E17" s="363"/>
    </row>
    <row r="18" spans="1:5" ht="24" customHeight="1">
      <c r="A18" s="27" t="s">
        <v>78</v>
      </c>
      <c r="B18" s="110"/>
      <c r="C18" s="376">
        <f>SUM(B19:B20)</f>
        <v>0</v>
      </c>
      <c r="D18" s="363"/>
      <c r="E18" s="363"/>
    </row>
    <row r="19" spans="1:5" ht="24" customHeight="1">
      <c r="A19" s="219"/>
      <c r="B19" s="110"/>
      <c r="C19" s="362"/>
      <c r="D19" s="363"/>
      <c r="E19" s="363"/>
    </row>
    <row r="20" spans="1:5" ht="24" customHeight="1">
      <c r="A20" s="218"/>
      <c r="B20" s="110"/>
      <c r="C20" s="362"/>
      <c r="D20" s="363"/>
      <c r="E20" s="363"/>
    </row>
    <row r="21" spans="1:5" ht="24" customHeight="1">
      <c r="A21" s="27" t="s">
        <v>79</v>
      </c>
      <c r="B21" s="110"/>
      <c r="C21" s="376">
        <f>SUM(B22:B23)</f>
        <v>0</v>
      </c>
      <c r="D21" s="363"/>
      <c r="E21" s="363"/>
    </row>
    <row r="22" spans="1:5" ht="24" customHeight="1">
      <c r="A22" s="218"/>
      <c r="B22" s="110"/>
      <c r="C22" s="362"/>
      <c r="D22" s="363"/>
      <c r="E22" s="363"/>
    </row>
    <row r="23" spans="1:5" ht="24" customHeight="1">
      <c r="A23" s="218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8691994</v>
      </c>
      <c r="D24" s="23">
        <f>VLOOKUP(1,縣庫對帳!$A$4:$L$100,12)</f>
        <v>8691994</v>
      </c>
      <c r="E24" s="23">
        <f>C24-D24</f>
        <v>0</v>
      </c>
    </row>
    <row r="25" spans="1:5" ht="24" customHeight="1">
      <c r="A25" s="218"/>
      <c r="B25" s="110"/>
      <c r="C25" s="112"/>
    </row>
    <row r="27" spans="1:5">
      <c r="A27" s="807"/>
      <c r="B27" s="807"/>
      <c r="C27" s="80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Q17" sqref="Q17"/>
      <selection pane="topRight" activeCell="Q17" sqref="Q17"/>
      <selection pane="bottomLeft" activeCell="Q17" sqref="Q17"/>
      <selection pane="bottomRight" activeCell="Q17" sqref="Q17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56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58"/>
      <c r="B1" s="813" t="s">
        <v>80</v>
      </c>
      <c r="C1" s="813"/>
      <c r="D1" s="813"/>
      <c r="E1" s="813"/>
      <c r="F1" s="813"/>
      <c r="G1" s="813"/>
      <c r="H1" s="813"/>
      <c r="I1" s="813"/>
      <c r="J1" s="813"/>
      <c r="K1" s="813"/>
      <c r="L1" s="813"/>
      <c r="M1" s="146"/>
      <c r="N1" s="58"/>
      <c r="O1" s="58"/>
      <c r="P1" s="58"/>
      <c r="Q1" s="552"/>
      <c r="R1" s="54"/>
      <c r="S1" s="54"/>
      <c r="T1" s="54"/>
      <c r="U1" s="54"/>
      <c r="V1" s="55"/>
    </row>
    <row r="2" spans="1:22" s="56" customFormat="1" ht="33">
      <c r="A2" s="158"/>
      <c r="B2" s="814" t="str">
        <f>封面!$E$10&amp;封面!$H$10&amp;封面!$I$10&amp;封面!$J$10&amp;封面!$K$10&amp;封面!L10</f>
        <v>中華民國112年7月份</v>
      </c>
      <c r="C2" s="814"/>
      <c r="D2" s="814"/>
      <c r="E2" s="814"/>
      <c r="F2" s="814"/>
      <c r="G2" s="814"/>
      <c r="H2" s="814"/>
      <c r="I2" s="814"/>
      <c r="J2" s="814"/>
      <c r="K2" s="814"/>
      <c r="L2" s="814"/>
      <c r="M2" s="147"/>
      <c r="N2" s="160" t="s">
        <v>158</v>
      </c>
      <c r="O2" s="160"/>
      <c r="P2" s="160" t="s">
        <v>157</v>
      </c>
      <c r="Q2" s="553"/>
      <c r="R2" s="57"/>
      <c r="S2" s="57"/>
      <c r="T2" s="57"/>
      <c r="U2" s="57"/>
      <c r="V2" s="57"/>
    </row>
    <row r="3" spans="1:22" s="70" customFormat="1">
      <c r="B3" s="180" t="s">
        <v>171</v>
      </c>
      <c r="C3" s="180" t="s">
        <v>172</v>
      </c>
      <c r="D3" s="180" t="s">
        <v>173</v>
      </c>
      <c r="E3" s="181" t="s">
        <v>174</v>
      </c>
      <c r="F3" s="181" t="s">
        <v>81</v>
      </c>
      <c r="G3" s="182" t="s">
        <v>175</v>
      </c>
      <c r="H3" s="183" t="s">
        <v>176</v>
      </c>
      <c r="I3" s="183" t="s">
        <v>4</v>
      </c>
      <c r="J3" s="183" t="s">
        <v>177</v>
      </c>
      <c r="K3" s="183" t="s">
        <v>178</v>
      </c>
      <c r="L3" s="183" t="s">
        <v>82</v>
      </c>
      <c r="M3" s="68"/>
      <c r="N3" s="194">
        <f>VLOOKUP(1,$A$4:$L$98,10,0)-N4+N5-P9</f>
        <v>22887974</v>
      </c>
      <c r="O3" s="194"/>
      <c r="P3" s="194">
        <f>VLOOKUP(1,$A$4:$L$98,11,0)-P4+P5-P6+P7-P8-P9</f>
        <v>21620543</v>
      </c>
      <c r="Q3" s="69"/>
    </row>
    <row r="4" spans="1:22" s="53" customFormat="1">
      <c r="A4" s="67"/>
      <c r="B4" s="184" t="s">
        <v>649</v>
      </c>
      <c r="C4" s="185" t="s">
        <v>650</v>
      </c>
      <c r="D4" s="185" t="s">
        <v>651</v>
      </c>
      <c r="E4" s="185" t="s">
        <v>651</v>
      </c>
      <c r="F4" s="185" t="s">
        <v>651</v>
      </c>
      <c r="G4" s="185" t="s">
        <v>651</v>
      </c>
      <c r="H4" s="185" t="s">
        <v>652</v>
      </c>
      <c r="I4" s="186" t="s">
        <v>651</v>
      </c>
      <c r="J4" s="186">
        <v>24771457</v>
      </c>
      <c r="K4" s="186">
        <v>19191948</v>
      </c>
      <c r="L4" s="186">
        <v>5579509</v>
      </c>
      <c r="M4" s="217" t="s">
        <v>185</v>
      </c>
      <c r="N4" s="195">
        <f>[4]縣庫對帳!$L$4</f>
        <v>1883483</v>
      </c>
      <c r="O4" s="196" t="s">
        <v>186</v>
      </c>
      <c r="P4" s="197">
        <f>VLOOKUP("零用及週轉金",平衡!$D$13:$H$42,5,0)</f>
        <v>40000</v>
      </c>
      <c r="Q4" s="554"/>
    </row>
    <row r="5" spans="1:22" s="53" customFormat="1">
      <c r="A5" s="67"/>
      <c r="B5" s="184" t="s">
        <v>649</v>
      </c>
      <c r="C5" s="185" t="s">
        <v>650</v>
      </c>
      <c r="D5" s="185" t="s">
        <v>653</v>
      </c>
      <c r="E5" s="185" t="s">
        <v>654</v>
      </c>
      <c r="F5" s="185" t="s">
        <v>655</v>
      </c>
      <c r="G5" s="185" t="s">
        <v>651</v>
      </c>
      <c r="H5" s="185" t="s">
        <v>656</v>
      </c>
      <c r="I5" s="186">
        <v>27000</v>
      </c>
      <c r="J5" s="186">
        <v>24771457</v>
      </c>
      <c r="K5" s="186">
        <v>19218948</v>
      </c>
      <c r="L5" s="186">
        <v>5552509</v>
      </c>
      <c r="M5" s="196" t="s">
        <v>187</v>
      </c>
      <c r="N5" s="197">
        <f>-庫款差額!C15+庫款差額!C18</f>
        <v>-5723000</v>
      </c>
      <c r="O5" s="196" t="s">
        <v>187</v>
      </c>
      <c r="P5" s="197">
        <f>庫款差額!C8-庫款差額!C21</f>
        <v>0</v>
      </c>
      <c r="Q5" s="554"/>
    </row>
    <row r="6" spans="1:22" s="53" customFormat="1" ht="22.5">
      <c r="A6" s="67"/>
      <c r="B6" s="184" t="s">
        <v>649</v>
      </c>
      <c r="C6" s="185" t="s">
        <v>650</v>
      </c>
      <c r="D6" s="185" t="s">
        <v>657</v>
      </c>
      <c r="E6" s="184" t="s">
        <v>658</v>
      </c>
      <c r="F6" s="184" t="s">
        <v>659</v>
      </c>
      <c r="G6" s="185" t="s">
        <v>651</v>
      </c>
      <c r="H6" s="185" t="s">
        <v>656</v>
      </c>
      <c r="I6" s="186">
        <v>39322</v>
      </c>
      <c r="J6" s="186">
        <v>24771457</v>
      </c>
      <c r="K6" s="186">
        <v>19258270</v>
      </c>
      <c r="L6" s="186">
        <v>5513187</v>
      </c>
      <c r="M6" s="115"/>
      <c r="N6" s="198"/>
      <c r="O6" s="199" t="s">
        <v>192</v>
      </c>
      <c r="P6" s="197">
        <v>141920</v>
      </c>
      <c r="Q6" s="554"/>
    </row>
    <row r="7" spans="1:22" s="53" customFormat="1" ht="22.5">
      <c r="A7" s="67"/>
      <c r="B7" s="184" t="s">
        <v>649</v>
      </c>
      <c r="C7" s="185" t="s">
        <v>650</v>
      </c>
      <c r="D7" s="185" t="s">
        <v>657</v>
      </c>
      <c r="E7" s="184" t="s">
        <v>660</v>
      </c>
      <c r="F7" s="184" t="s">
        <v>661</v>
      </c>
      <c r="G7" s="185" t="s">
        <v>651</v>
      </c>
      <c r="H7" s="185" t="s">
        <v>656</v>
      </c>
      <c r="I7" s="186">
        <v>65064</v>
      </c>
      <c r="J7" s="186">
        <v>24771457</v>
      </c>
      <c r="K7" s="186">
        <v>19323334</v>
      </c>
      <c r="L7" s="186">
        <v>5448123</v>
      </c>
      <c r="M7" s="115"/>
      <c r="N7" s="198"/>
      <c r="O7" s="199" t="s">
        <v>193</v>
      </c>
      <c r="P7" s="197">
        <f>IF(Q7=0,0,VLOOKUP("應付費用",平衡!$N$13:$T$41,7,0))</f>
        <v>0</v>
      </c>
      <c r="Q7" s="554"/>
    </row>
    <row r="8" spans="1:22" s="53" customFormat="1">
      <c r="A8" s="67"/>
      <c r="B8" s="184" t="s">
        <v>649</v>
      </c>
      <c r="C8" s="185" t="s">
        <v>650</v>
      </c>
      <c r="D8" s="185" t="s">
        <v>662</v>
      </c>
      <c r="E8" s="184" t="s">
        <v>663</v>
      </c>
      <c r="F8" s="184" t="s">
        <v>664</v>
      </c>
      <c r="G8" s="185" t="s">
        <v>651</v>
      </c>
      <c r="H8" s="185" t="s">
        <v>656</v>
      </c>
      <c r="I8" s="186">
        <v>10838</v>
      </c>
      <c r="J8" s="186">
        <v>24771457</v>
      </c>
      <c r="K8" s="186">
        <v>19334172</v>
      </c>
      <c r="L8" s="186">
        <v>5437285</v>
      </c>
      <c r="M8" s="115"/>
      <c r="N8" s="198"/>
      <c r="O8" s="197" t="s">
        <v>188</v>
      </c>
      <c r="P8" s="197"/>
      <c r="Q8" s="554"/>
    </row>
    <row r="9" spans="1:22" s="53" customFormat="1">
      <c r="A9" s="67"/>
      <c r="B9" s="184" t="s">
        <v>649</v>
      </c>
      <c r="C9" s="185" t="s">
        <v>650</v>
      </c>
      <c r="D9" s="185" t="s">
        <v>662</v>
      </c>
      <c r="E9" s="184" t="s">
        <v>665</v>
      </c>
      <c r="F9" s="184" t="s">
        <v>666</v>
      </c>
      <c r="G9" s="185" t="s">
        <v>651</v>
      </c>
      <c r="H9" s="185" t="s">
        <v>656</v>
      </c>
      <c r="I9" s="186">
        <v>315120</v>
      </c>
      <c r="J9" s="186">
        <v>24771457</v>
      </c>
      <c r="K9" s="186">
        <v>19649292</v>
      </c>
      <c r="L9" s="186">
        <v>5122165</v>
      </c>
      <c r="M9" s="115"/>
      <c r="N9" s="30"/>
      <c r="O9" s="197" t="s">
        <v>189</v>
      </c>
      <c r="P9" s="197"/>
      <c r="Q9" s="554"/>
    </row>
    <row r="10" spans="1:22" s="53" customFormat="1">
      <c r="A10" s="67"/>
      <c r="B10" s="184" t="s">
        <v>649</v>
      </c>
      <c r="C10" s="185" t="s">
        <v>650</v>
      </c>
      <c r="D10" s="185" t="s">
        <v>667</v>
      </c>
      <c r="E10" s="184" t="s">
        <v>668</v>
      </c>
      <c r="F10" s="184" t="s">
        <v>669</v>
      </c>
      <c r="G10" s="185" t="s">
        <v>651</v>
      </c>
      <c r="H10" s="185" t="s">
        <v>656</v>
      </c>
      <c r="I10" s="186">
        <v>32000</v>
      </c>
      <c r="J10" s="186">
        <v>24771457</v>
      </c>
      <c r="K10" s="186">
        <v>19681292</v>
      </c>
      <c r="L10" s="186">
        <v>5090165</v>
      </c>
      <c r="M10" s="115"/>
      <c r="N10" s="30"/>
      <c r="O10" s="30"/>
      <c r="P10" s="30"/>
      <c r="Q10" s="554"/>
    </row>
    <row r="11" spans="1:22" s="53" customFormat="1" ht="28.5">
      <c r="A11" s="67"/>
      <c r="B11" s="184" t="s">
        <v>649</v>
      </c>
      <c r="C11" s="185" t="s">
        <v>650</v>
      </c>
      <c r="D11" s="185" t="s">
        <v>670</v>
      </c>
      <c r="E11" s="184" t="s">
        <v>671</v>
      </c>
      <c r="F11" s="184" t="s">
        <v>651</v>
      </c>
      <c r="G11" s="185">
        <v>5723000</v>
      </c>
      <c r="H11" s="185" t="s">
        <v>672</v>
      </c>
      <c r="I11" s="186" t="s">
        <v>651</v>
      </c>
      <c r="J11" s="186">
        <v>30494457</v>
      </c>
      <c r="K11" s="186">
        <v>19681292</v>
      </c>
      <c r="L11" s="186">
        <v>10813165</v>
      </c>
      <c r="M11" s="115"/>
      <c r="N11" s="30"/>
      <c r="O11" s="30"/>
      <c r="P11" s="30"/>
      <c r="Q11" s="554"/>
    </row>
    <row r="12" spans="1:22" s="53" customFormat="1">
      <c r="A12" s="67"/>
      <c r="B12" s="184" t="s">
        <v>649</v>
      </c>
      <c r="C12" s="185" t="s">
        <v>650</v>
      </c>
      <c r="D12" s="185" t="s">
        <v>670</v>
      </c>
      <c r="E12" s="184" t="s">
        <v>673</v>
      </c>
      <c r="F12" s="184" t="s">
        <v>674</v>
      </c>
      <c r="G12" s="185" t="s">
        <v>651</v>
      </c>
      <c r="H12" s="185" t="s">
        <v>656</v>
      </c>
      <c r="I12" s="186">
        <v>16000</v>
      </c>
      <c r="J12" s="186">
        <v>30494457</v>
      </c>
      <c r="K12" s="186">
        <v>19697292</v>
      </c>
      <c r="L12" s="186">
        <v>10797165</v>
      </c>
      <c r="M12" s="115"/>
      <c r="N12" s="30"/>
      <c r="O12" s="30"/>
      <c r="P12" s="30"/>
      <c r="Q12" s="554"/>
    </row>
    <row r="13" spans="1:22" s="53" customFormat="1">
      <c r="A13" s="67"/>
      <c r="B13" s="184" t="s">
        <v>649</v>
      </c>
      <c r="C13" s="361" t="s">
        <v>650</v>
      </c>
      <c r="D13" s="361" t="s">
        <v>675</v>
      </c>
      <c r="E13" s="361" t="s">
        <v>676</v>
      </c>
      <c r="F13" s="184" t="s">
        <v>677</v>
      </c>
      <c r="G13" s="185" t="s">
        <v>651</v>
      </c>
      <c r="H13" s="185" t="s">
        <v>656</v>
      </c>
      <c r="I13" s="186">
        <v>1727048</v>
      </c>
      <c r="J13" s="186">
        <v>30494457</v>
      </c>
      <c r="K13" s="186">
        <v>21424340</v>
      </c>
      <c r="L13" s="186">
        <v>9070117</v>
      </c>
      <c r="M13" s="115"/>
      <c r="N13" s="30"/>
      <c r="O13" s="30"/>
      <c r="P13" s="30"/>
      <c r="Q13" s="554"/>
    </row>
    <row r="14" spans="1:22" s="53" customFormat="1">
      <c r="A14" s="67">
        <v>1</v>
      </c>
      <c r="B14" s="184" t="s">
        <v>649</v>
      </c>
      <c r="C14" s="361" t="s">
        <v>650</v>
      </c>
      <c r="D14" s="361" t="s">
        <v>675</v>
      </c>
      <c r="E14" s="361" t="s">
        <v>678</v>
      </c>
      <c r="F14" s="184" t="s">
        <v>679</v>
      </c>
      <c r="G14" s="185" t="s">
        <v>651</v>
      </c>
      <c r="H14" s="185" t="s">
        <v>656</v>
      </c>
      <c r="I14" s="186">
        <v>378123</v>
      </c>
      <c r="J14" s="186">
        <v>30494457</v>
      </c>
      <c r="K14" s="186">
        <v>21802463</v>
      </c>
      <c r="L14" s="186">
        <v>8691994</v>
      </c>
      <c r="M14" s="115"/>
      <c r="N14" s="30"/>
      <c r="O14" s="30"/>
      <c r="P14" s="30"/>
      <c r="Q14" s="554"/>
    </row>
    <row r="15" spans="1:22" s="53" customFormat="1">
      <c r="A15" s="67"/>
      <c r="B15" s="184" t="s">
        <v>651</v>
      </c>
      <c r="C15" s="361" t="s">
        <v>680</v>
      </c>
      <c r="D15" s="361" t="s">
        <v>651</v>
      </c>
      <c r="E15" s="361" t="s">
        <v>651</v>
      </c>
      <c r="F15" s="184" t="s">
        <v>651</v>
      </c>
      <c r="G15" s="185">
        <v>5723000</v>
      </c>
      <c r="H15" s="185" t="s">
        <v>651</v>
      </c>
      <c r="I15" s="186">
        <v>2610515</v>
      </c>
      <c r="J15" s="186" t="s">
        <v>651</v>
      </c>
      <c r="K15" s="186" t="s">
        <v>651</v>
      </c>
      <c r="L15" s="186" t="s">
        <v>651</v>
      </c>
      <c r="M15" s="115"/>
      <c r="N15" s="30"/>
      <c r="O15" s="30"/>
      <c r="P15" s="30"/>
      <c r="Q15" s="554"/>
    </row>
    <row r="16" spans="1:22" s="53" customFormat="1">
      <c r="A16" s="67"/>
      <c r="B16" s="184"/>
      <c r="C16" s="361"/>
      <c r="D16" s="361"/>
      <c r="E16" s="361"/>
      <c r="F16" s="184"/>
      <c r="G16" s="185"/>
      <c r="H16" s="185"/>
      <c r="I16" s="186"/>
      <c r="J16" s="186"/>
      <c r="K16" s="186"/>
      <c r="L16" s="186"/>
      <c r="M16" s="115"/>
      <c r="N16" s="30"/>
      <c r="O16" s="30"/>
      <c r="P16" s="30"/>
      <c r="Q16" s="554"/>
    </row>
    <row r="17" spans="1:19" s="53" customFormat="1">
      <c r="A17" s="67"/>
      <c r="B17" s="187"/>
      <c r="C17" s="374"/>
      <c r="D17" s="374"/>
      <c r="E17" s="374"/>
      <c r="F17" s="187"/>
      <c r="G17" s="188"/>
      <c r="H17" s="188"/>
      <c r="I17" s="188"/>
      <c r="J17" s="188"/>
      <c r="K17" s="188"/>
      <c r="L17" s="188"/>
      <c r="M17" s="115"/>
      <c r="N17" s="30"/>
      <c r="O17" s="30"/>
      <c r="P17" s="30"/>
      <c r="Q17" s="554"/>
    </row>
    <row r="18" spans="1:19" s="53" customFormat="1">
      <c r="A18" s="67"/>
      <c r="B18" s="187"/>
      <c r="C18" s="374"/>
      <c r="D18" s="374"/>
      <c r="E18" s="374"/>
      <c r="F18" s="187"/>
      <c r="G18" s="188"/>
      <c r="H18" s="188"/>
      <c r="I18" s="188"/>
      <c r="J18" s="188"/>
      <c r="K18" s="188"/>
      <c r="L18" s="188"/>
      <c r="M18" s="115"/>
      <c r="N18" s="30"/>
      <c r="O18" s="30"/>
      <c r="P18" s="30"/>
      <c r="Q18" s="554"/>
      <c r="S18" s="66"/>
    </row>
    <row r="19" spans="1:19" s="214" customFormat="1">
      <c r="A19" s="211"/>
      <c r="B19" s="187"/>
      <c r="C19" s="374"/>
      <c r="D19" s="374"/>
      <c r="E19" s="374"/>
      <c r="F19" s="187"/>
      <c r="G19" s="188"/>
      <c r="H19" s="188"/>
      <c r="I19" s="188"/>
      <c r="J19" s="188"/>
      <c r="K19" s="188"/>
      <c r="L19" s="188"/>
      <c r="M19" s="212"/>
      <c r="N19" s="213"/>
      <c r="O19" s="30"/>
      <c r="P19" s="30"/>
      <c r="Q19" s="555"/>
    </row>
    <row r="20" spans="1:19" s="214" customFormat="1" ht="14.25">
      <c r="A20" s="211"/>
      <c r="B20" s="215"/>
      <c r="C20" s="375"/>
      <c r="D20" s="375"/>
      <c r="E20" s="375"/>
      <c r="F20" s="215"/>
      <c r="G20" s="212"/>
      <c r="H20" s="212"/>
      <c r="I20" s="212"/>
      <c r="J20" s="212"/>
      <c r="K20" s="212"/>
      <c r="L20" s="212"/>
      <c r="M20" s="212"/>
      <c r="N20" s="213"/>
      <c r="O20" s="213"/>
      <c r="P20" s="213"/>
      <c r="Q20" s="555"/>
    </row>
    <row r="21" spans="1:19" s="214" customFormat="1" ht="14.25">
      <c r="A21" s="211"/>
      <c r="B21" s="215"/>
      <c r="C21" s="375"/>
      <c r="D21" s="375"/>
      <c r="E21" s="375"/>
      <c r="F21" s="215"/>
      <c r="G21" s="212"/>
      <c r="H21" s="212"/>
      <c r="I21" s="212"/>
      <c r="J21" s="212"/>
      <c r="K21" s="212"/>
      <c r="L21" s="212"/>
      <c r="M21" s="212"/>
      <c r="N21" s="213"/>
      <c r="O21" s="213"/>
      <c r="P21" s="213"/>
      <c r="Q21" s="555"/>
    </row>
    <row r="22" spans="1:19" s="214" customFormat="1" ht="14.25">
      <c r="A22" s="211"/>
      <c r="B22" s="215"/>
      <c r="C22" s="375"/>
      <c r="D22" s="375"/>
      <c r="E22" s="375"/>
      <c r="F22" s="216"/>
      <c r="G22" s="212"/>
      <c r="H22" s="212"/>
      <c r="I22" s="212"/>
      <c r="J22" s="212"/>
      <c r="K22" s="212"/>
      <c r="L22" s="212"/>
      <c r="M22" s="212"/>
      <c r="N22" s="213"/>
      <c r="O22" s="213"/>
      <c r="P22" s="213"/>
      <c r="Q22" s="555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3"/>
      <c r="P23" s="213"/>
      <c r="Q23" s="554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54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54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54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54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54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54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54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54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54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54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54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54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54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54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54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54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54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54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54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54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54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54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54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54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54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54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54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54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54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54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54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54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54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54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54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54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54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54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54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54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54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54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54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54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54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54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54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54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54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54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54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54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54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54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54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54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54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54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54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54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54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54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54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54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54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54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54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54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54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54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54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54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54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54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54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54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54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54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54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54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54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54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54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54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54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54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54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54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54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54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54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54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54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54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54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54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54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54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54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54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54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54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54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54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54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54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54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54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54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54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54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54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54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54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54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54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54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54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54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54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54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54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54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54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54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54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54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54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54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54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54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54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54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54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54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54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54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54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54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54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54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54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54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54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54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54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54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54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54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54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54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54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54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54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54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54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54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54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54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54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54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54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54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54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54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54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54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54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54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54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54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54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54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54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54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54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54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54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54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54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54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54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54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54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54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54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54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54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54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54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54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54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54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54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54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54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54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54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54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54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54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54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54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54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54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54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54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54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54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54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54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54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54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54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54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54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54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54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54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54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54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54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54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54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54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54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54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54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54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54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54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54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54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54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54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54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54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54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54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54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54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54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54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54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54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54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54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54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54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54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54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54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54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54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54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54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54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54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54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54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54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54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54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54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54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54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54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54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54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54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54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54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54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54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54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54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54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54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54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54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54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54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54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54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54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54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54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54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54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54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54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54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54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54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54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54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54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54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54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54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54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54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54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54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54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54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54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54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54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54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54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54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54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54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54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54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54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54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54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54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54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54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54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54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54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54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54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54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54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54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54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54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54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54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54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54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54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54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54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54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54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54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54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54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54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54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54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54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54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54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54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54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54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54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54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54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54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54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54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54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54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54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54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54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54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54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54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54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54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54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54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54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54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54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54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54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54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54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54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54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54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54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54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54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54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54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54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54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54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54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54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54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54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54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54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54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54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54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54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54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54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54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54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54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54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54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54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54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54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54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54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54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54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54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54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54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54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54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54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54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54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54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54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54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54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54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54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54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54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54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54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54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54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54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54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54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54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54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54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54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54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54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54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54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54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54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54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54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54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54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54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54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54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54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54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54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54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54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54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54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54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54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54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54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54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54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54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54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54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54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54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54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54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54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54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54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54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54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54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54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54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54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54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54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54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54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54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54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54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54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54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54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54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54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54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54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54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54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54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54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54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54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54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54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54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54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54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54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54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54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54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54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54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54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54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54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54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54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54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54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54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54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54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54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54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54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54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54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54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54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54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54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54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54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54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54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54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54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54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54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54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54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54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54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54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54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54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54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54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54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54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54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54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54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54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54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54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54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54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54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54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54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54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54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54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54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54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54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54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54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54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54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54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54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54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54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54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54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54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54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54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54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54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54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54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54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54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54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54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54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54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54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54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54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54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54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54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54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54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54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54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54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54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54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54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54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54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54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54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54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54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54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54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54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54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54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54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54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54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54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54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54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54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54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54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54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54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54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54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54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54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54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54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54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54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54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54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54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54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54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54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54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54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54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54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54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54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54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54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54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54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54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54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54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54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54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54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54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54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54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54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54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54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54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54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54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54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54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54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54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54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54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54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54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54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54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54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54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54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54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54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54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54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54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54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54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54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54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54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54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54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54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54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54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54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54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54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54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54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54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54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54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54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54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54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54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54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54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54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54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54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54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54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54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54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54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54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54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54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54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54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54"/>
    </row>
    <row r="746" spans="2:17">
      <c r="M746" s="51"/>
      <c r="N746" s="30"/>
      <c r="O746" s="30"/>
      <c r="P746" s="30"/>
      <c r="Q746" s="554"/>
    </row>
    <row r="747" spans="2:17">
      <c r="N747" s="30"/>
      <c r="O747" s="30"/>
      <c r="P747" s="30"/>
      <c r="Q747" s="554"/>
    </row>
    <row r="748" spans="2:17">
      <c r="N748" s="30"/>
      <c r="O748" s="30"/>
      <c r="P748" s="30"/>
      <c r="Q748" s="554"/>
    </row>
    <row r="749" spans="2:17">
      <c r="N749" s="30"/>
      <c r="O749" s="30"/>
      <c r="P749" s="30"/>
      <c r="Q749" s="554"/>
    </row>
    <row r="750" spans="2:17">
      <c r="N750" s="30"/>
      <c r="O750" s="30"/>
      <c r="P750" s="30"/>
      <c r="Q750" s="554"/>
    </row>
    <row r="751" spans="2:17">
      <c r="N751" s="30"/>
      <c r="O751" s="30"/>
      <c r="P751" s="30"/>
      <c r="Q751" s="554"/>
    </row>
    <row r="752" spans="2:17">
      <c r="N752" s="30"/>
      <c r="O752" s="30"/>
      <c r="P752" s="30"/>
      <c r="Q752" s="554"/>
    </row>
    <row r="753" spans="14:17">
      <c r="N753" s="30"/>
      <c r="O753" s="30"/>
      <c r="P753" s="30"/>
      <c r="Q753" s="554"/>
    </row>
    <row r="754" spans="14:17">
      <c r="N754" s="30"/>
      <c r="O754" s="30"/>
      <c r="P754" s="30"/>
      <c r="Q754" s="554"/>
    </row>
    <row r="755" spans="14:17">
      <c r="N755" s="30"/>
      <c r="O755" s="30"/>
      <c r="P755" s="30"/>
      <c r="Q755" s="554"/>
    </row>
    <row r="756" spans="14:17">
      <c r="N756" s="30"/>
      <c r="O756" s="30"/>
      <c r="P756" s="30"/>
      <c r="Q756" s="554"/>
    </row>
    <row r="757" spans="14:17">
      <c r="N757" s="30"/>
      <c r="O757" s="30"/>
      <c r="P757" s="30"/>
      <c r="Q757" s="554"/>
    </row>
    <row r="758" spans="14:17">
      <c r="N758" s="30"/>
      <c r="O758" s="30"/>
      <c r="P758" s="30"/>
      <c r="Q758" s="554"/>
    </row>
    <row r="759" spans="14:17">
      <c r="N759" s="30"/>
      <c r="O759" s="30"/>
      <c r="P759" s="30"/>
      <c r="Q759" s="554"/>
    </row>
    <row r="760" spans="14:17">
      <c r="N760" s="30"/>
      <c r="O760" s="30"/>
      <c r="P760" s="30"/>
      <c r="Q760" s="554"/>
    </row>
    <row r="761" spans="14:17">
      <c r="N761" s="30"/>
      <c r="O761" s="30"/>
      <c r="P761" s="30"/>
      <c r="Q761" s="554"/>
    </row>
    <row r="762" spans="14:17">
      <c r="N762" s="30"/>
      <c r="O762" s="30"/>
      <c r="P762" s="30"/>
      <c r="Q762" s="554"/>
    </row>
    <row r="763" spans="14:17">
      <c r="N763" s="30"/>
      <c r="O763" s="30"/>
      <c r="P763" s="30"/>
      <c r="Q763" s="554"/>
    </row>
    <row r="764" spans="14:17">
      <c r="N764" s="30"/>
      <c r="O764" s="30"/>
      <c r="P764" s="30"/>
      <c r="Q764" s="554"/>
    </row>
    <row r="765" spans="14:17">
      <c r="N765" s="30"/>
      <c r="O765" s="30"/>
      <c r="P765" s="30"/>
      <c r="Q765" s="554"/>
    </row>
    <row r="766" spans="14:17">
      <c r="N766" s="30"/>
      <c r="O766" s="30"/>
      <c r="P766" s="30"/>
      <c r="Q766" s="554"/>
    </row>
    <row r="767" spans="14:17">
      <c r="N767" s="30"/>
      <c r="O767" s="30"/>
      <c r="P767" s="30"/>
      <c r="Q767" s="554"/>
    </row>
    <row r="768" spans="14:17">
      <c r="N768" s="30"/>
      <c r="O768" s="30"/>
      <c r="P768" s="30"/>
      <c r="Q768" s="554"/>
    </row>
    <row r="769" spans="14:17">
      <c r="N769" s="30"/>
      <c r="O769" s="30"/>
      <c r="P769" s="30"/>
      <c r="Q769" s="554"/>
    </row>
    <row r="770" spans="14:17">
      <c r="N770" s="30"/>
      <c r="O770" s="30"/>
      <c r="P770" s="30"/>
      <c r="Q770" s="554"/>
    </row>
    <row r="771" spans="14:17">
      <c r="N771" s="30"/>
      <c r="O771" s="30"/>
      <c r="P771" s="30"/>
      <c r="Q771" s="554"/>
    </row>
    <row r="772" spans="14:17">
      <c r="N772" s="30"/>
      <c r="O772" s="30"/>
      <c r="P772" s="30"/>
      <c r="Q772" s="554"/>
    </row>
    <row r="773" spans="14:17">
      <c r="N773" s="30"/>
      <c r="O773" s="30"/>
      <c r="P773" s="30"/>
      <c r="Q773" s="554"/>
    </row>
    <row r="774" spans="14:17">
      <c r="N774" s="30"/>
      <c r="O774" s="30"/>
      <c r="P774" s="30"/>
      <c r="Q774" s="554"/>
    </row>
    <row r="775" spans="14:17">
      <c r="N775" s="30"/>
      <c r="O775" s="30"/>
      <c r="P775" s="30"/>
      <c r="Q775" s="554"/>
    </row>
    <row r="776" spans="14:17">
      <c r="N776" s="30"/>
      <c r="O776" s="30"/>
      <c r="P776" s="30"/>
      <c r="Q776" s="554"/>
    </row>
    <row r="777" spans="14:17">
      <c r="N777" s="30"/>
      <c r="O777" s="30"/>
      <c r="P777" s="30"/>
      <c r="Q777" s="554"/>
    </row>
    <row r="778" spans="14:17">
      <c r="N778" s="30"/>
      <c r="O778" s="30"/>
      <c r="P778" s="30"/>
      <c r="Q778" s="554"/>
    </row>
    <row r="779" spans="14:17">
      <c r="N779" s="30"/>
      <c r="O779" s="30"/>
      <c r="P779" s="30"/>
      <c r="Q779" s="554"/>
    </row>
    <row r="780" spans="14:17">
      <c r="N780" s="30"/>
      <c r="O780" s="30"/>
      <c r="P780" s="30"/>
      <c r="Q780" s="554"/>
    </row>
    <row r="781" spans="14:17">
      <c r="N781" s="30"/>
      <c r="O781" s="30"/>
      <c r="P781" s="30"/>
      <c r="Q781" s="554"/>
    </row>
    <row r="782" spans="14:17">
      <c r="N782" s="30"/>
      <c r="O782" s="30"/>
      <c r="P782" s="30"/>
      <c r="Q782" s="554"/>
    </row>
    <row r="783" spans="14:17">
      <c r="N783" s="30"/>
      <c r="O783" s="30"/>
      <c r="P783" s="30"/>
      <c r="Q783" s="554"/>
    </row>
    <row r="784" spans="14:17">
      <c r="N784" s="30"/>
      <c r="O784" s="30"/>
      <c r="P784" s="30"/>
      <c r="Q784" s="554"/>
    </row>
    <row r="785" spans="14:17">
      <c r="N785" s="30"/>
      <c r="O785" s="30"/>
      <c r="P785" s="30"/>
      <c r="Q785" s="554"/>
    </row>
    <row r="786" spans="14:17">
      <c r="N786" s="30"/>
      <c r="O786" s="30"/>
      <c r="P786" s="30"/>
      <c r="Q786" s="554"/>
    </row>
    <row r="787" spans="14:17">
      <c r="N787" s="30"/>
      <c r="O787" s="30"/>
      <c r="P787" s="30"/>
      <c r="Q787" s="554"/>
    </row>
    <row r="788" spans="14:17">
      <c r="N788" s="30"/>
      <c r="O788" s="30"/>
      <c r="P788" s="30"/>
      <c r="Q788" s="554"/>
    </row>
    <row r="789" spans="14:17">
      <c r="N789" s="30"/>
      <c r="O789" s="30"/>
      <c r="P789" s="30"/>
      <c r="Q789" s="554"/>
    </row>
    <row r="790" spans="14:17">
      <c r="N790" s="30"/>
      <c r="O790" s="30"/>
      <c r="P790" s="30"/>
      <c r="Q790" s="554"/>
    </row>
    <row r="791" spans="14:17">
      <c r="N791" s="30"/>
      <c r="O791" s="30"/>
      <c r="P791" s="30"/>
      <c r="Q791" s="554"/>
    </row>
    <row r="792" spans="14:17">
      <c r="N792" s="30"/>
      <c r="O792" s="30"/>
      <c r="P792" s="30"/>
      <c r="Q792" s="554"/>
    </row>
    <row r="793" spans="14:17">
      <c r="N793" s="30"/>
      <c r="O793" s="30"/>
      <c r="P793" s="30"/>
      <c r="Q793" s="554"/>
    </row>
    <row r="794" spans="14:17">
      <c r="N794" s="30"/>
      <c r="O794" s="30"/>
      <c r="P794" s="30"/>
      <c r="Q794" s="554"/>
    </row>
    <row r="795" spans="14:17">
      <c r="N795" s="30"/>
      <c r="O795" s="30"/>
      <c r="P795" s="30"/>
      <c r="Q795" s="554"/>
    </row>
    <row r="796" spans="14:17">
      <c r="N796" s="30"/>
      <c r="O796" s="30"/>
      <c r="P796" s="30"/>
      <c r="Q796" s="554"/>
    </row>
    <row r="797" spans="14:17">
      <c r="N797" s="30"/>
      <c r="O797" s="30"/>
      <c r="P797" s="30"/>
      <c r="Q797" s="554"/>
    </row>
    <row r="798" spans="14:17">
      <c r="N798" s="30"/>
      <c r="O798" s="30"/>
      <c r="P798" s="30"/>
      <c r="Q798" s="554"/>
    </row>
    <row r="799" spans="14:17">
      <c r="N799" s="30"/>
      <c r="O799" s="30"/>
      <c r="P799" s="30"/>
      <c r="Q799" s="554"/>
    </row>
    <row r="800" spans="14:17">
      <c r="N800" s="30"/>
      <c r="O800" s="30"/>
      <c r="P800" s="30"/>
      <c r="Q800" s="554"/>
    </row>
    <row r="801" spans="14:17">
      <c r="N801" s="30"/>
      <c r="O801" s="30"/>
      <c r="P801" s="30"/>
      <c r="Q801" s="554"/>
    </row>
    <row r="802" spans="14:17">
      <c r="N802" s="30"/>
      <c r="O802" s="30"/>
      <c r="P802" s="30"/>
      <c r="Q802" s="554"/>
    </row>
    <row r="803" spans="14:17">
      <c r="N803" s="30"/>
      <c r="O803" s="30"/>
      <c r="P803" s="30"/>
      <c r="Q803" s="554"/>
    </row>
    <row r="804" spans="14:17">
      <c r="N804" s="30"/>
      <c r="O804" s="30"/>
      <c r="P804" s="30"/>
      <c r="Q804" s="554"/>
    </row>
    <row r="805" spans="14:17">
      <c r="N805" s="30"/>
      <c r="O805" s="30"/>
      <c r="P805" s="30"/>
      <c r="Q805" s="554"/>
    </row>
    <row r="806" spans="14:17">
      <c r="N806" s="30"/>
      <c r="O806" s="30"/>
      <c r="P806" s="30"/>
      <c r="Q806" s="554"/>
    </row>
    <row r="807" spans="14:17">
      <c r="N807" s="30"/>
      <c r="O807" s="30"/>
      <c r="P807" s="30"/>
      <c r="Q807" s="554"/>
    </row>
    <row r="808" spans="14:17">
      <c r="N808" s="30"/>
      <c r="O808" s="30"/>
      <c r="P808" s="30"/>
      <c r="Q808" s="554"/>
    </row>
    <row r="809" spans="14:17">
      <c r="N809" s="30"/>
      <c r="O809" s="30"/>
      <c r="P809" s="30"/>
      <c r="Q809" s="554"/>
    </row>
    <row r="810" spans="14:17">
      <c r="N810" s="30"/>
      <c r="O810" s="30"/>
      <c r="P810" s="30"/>
      <c r="Q810" s="554"/>
    </row>
    <row r="811" spans="14:17">
      <c r="N811" s="30"/>
      <c r="O811" s="30"/>
      <c r="P811" s="30"/>
      <c r="Q811" s="554"/>
    </row>
    <row r="812" spans="14:17">
      <c r="N812" s="30"/>
      <c r="O812" s="30"/>
      <c r="P812" s="30"/>
      <c r="Q812" s="554"/>
    </row>
    <row r="813" spans="14:17">
      <c r="N813" s="30"/>
      <c r="O813" s="30"/>
      <c r="P813" s="30"/>
      <c r="Q813" s="554"/>
    </row>
    <row r="814" spans="14:17">
      <c r="N814" s="30"/>
      <c r="O814" s="30"/>
      <c r="P814" s="30"/>
      <c r="Q814" s="554"/>
    </row>
    <row r="815" spans="14:17">
      <c r="N815" s="30"/>
      <c r="O815" s="30"/>
      <c r="P815" s="30"/>
      <c r="Q815" s="554"/>
    </row>
    <row r="816" spans="14:17">
      <c r="N816" s="30"/>
      <c r="O816" s="30"/>
      <c r="P816" s="30"/>
      <c r="Q816" s="554"/>
    </row>
    <row r="817" spans="14:17">
      <c r="N817" s="30"/>
      <c r="O817" s="30"/>
      <c r="P817" s="30"/>
      <c r="Q817" s="554"/>
    </row>
    <row r="818" spans="14:17">
      <c r="N818" s="30"/>
      <c r="O818" s="30"/>
      <c r="P818" s="30"/>
      <c r="Q818" s="554"/>
    </row>
    <row r="819" spans="14:17">
      <c r="N819" s="30"/>
      <c r="O819" s="30"/>
      <c r="P819" s="30"/>
      <c r="Q819" s="554"/>
    </row>
    <row r="820" spans="14:17">
      <c r="N820" s="30"/>
      <c r="O820" s="30"/>
      <c r="P820" s="30"/>
      <c r="Q820" s="554"/>
    </row>
    <row r="821" spans="14:17">
      <c r="N821" s="30"/>
      <c r="O821" s="30"/>
      <c r="P821" s="30"/>
      <c r="Q821" s="554"/>
    </row>
    <row r="822" spans="14:17">
      <c r="N822" s="30"/>
      <c r="O822" s="30"/>
      <c r="P822" s="30"/>
      <c r="Q822" s="554"/>
    </row>
    <row r="823" spans="14:17">
      <c r="N823" s="30"/>
      <c r="O823" s="30"/>
      <c r="P823" s="30"/>
      <c r="Q823" s="554"/>
    </row>
    <row r="824" spans="14:17">
      <c r="N824" s="30"/>
      <c r="O824" s="30"/>
      <c r="P824" s="30"/>
      <c r="Q824" s="554"/>
    </row>
    <row r="825" spans="14:17">
      <c r="N825" s="30"/>
      <c r="O825" s="30"/>
      <c r="P825" s="30"/>
      <c r="Q825" s="554"/>
    </row>
    <row r="826" spans="14:17">
      <c r="N826" s="30"/>
      <c r="O826" s="30"/>
      <c r="P826" s="30"/>
      <c r="Q826" s="554"/>
    </row>
    <row r="827" spans="14:17">
      <c r="N827" s="30"/>
      <c r="O827" s="30"/>
      <c r="P827" s="30"/>
      <c r="Q827" s="554"/>
    </row>
    <row r="828" spans="14:17">
      <c r="N828" s="30"/>
      <c r="O828" s="30"/>
      <c r="P828" s="30"/>
      <c r="Q828" s="554"/>
    </row>
    <row r="829" spans="14:17">
      <c r="N829" s="30"/>
      <c r="O829" s="30"/>
      <c r="P829" s="30"/>
      <c r="Q829" s="554"/>
    </row>
    <row r="830" spans="14:17">
      <c r="N830" s="30"/>
      <c r="O830" s="30"/>
      <c r="P830" s="30"/>
      <c r="Q830" s="554"/>
    </row>
    <row r="831" spans="14:17">
      <c r="N831" s="30"/>
      <c r="O831" s="30"/>
      <c r="P831" s="30"/>
      <c r="Q831" s="554"/>
    </row>
    <row r="832" spans="14:17">
      <c r="N832" s="30"/>
      <c r="O832" s="30"/>
      <c r="P832" s="30"/>
      <c r="Q832" s="554"/>
    </row>
    <row r="833" spans="14:17">
      <c r="N833" s="30"/>
      <c r="O833" s="30"/>
      <c r="P833" s="30"/>
      <c r="Q833" s="554"/>
    </row>
    <row r="834" spans="14:17">
      <c r="N834" s="30"/>
      <c r="O834" s="30"/>
      <c r="P834" s="30"/>
      <c r="Q834" s="554"/>
    </row>
    <row r="835" spans="14:17">
      <c r="N835" s="30"/>
      <c r="O835" s="30"/>
      <c r="P835" s="30"/>
      <c r="Q835" s="554"/>
    </row>
    <row r="836" spans="14:17">
      <c r="N836" s="30"/>
      <c r="O836" s="30"/>
      <c r="P836" s="30"/>
      <c r="Q836" s="554"/>
    </row>
    <row r="837" spans="14:17">
      <c r="N837" s="30"/>
      <c r="O837" s="30"/>
      <c r="P837" s="30"/>
      <c r="Q837" s="554"/>
    </row>
    <row r="838" spans="14:17">
      <c r="N838" s="30"/>
      <c r="O838" s="30"/>
      <c r="P838" s="30"/>
      <c r="Q838" s="554"/>
    </row>
    <row r="839" spans="14:17">
      <c r="N839" s="30"/>
      <c r="O839" s="30"/>
      <c r="P839" s="30"/>
      <c r="Q839" s="554"/>
    </row>
    <row r="840" spans="14:17">
      <c r="N840" s="30"/>
      <c r="O840" s="30"/>
      <c r="P840" s="30"/>
      <c r="Q840" s="554"/>
    </row>
    <row r="841" spans="14:17">
      <c r="N841" s="30"/>
      <c r="O841" s="30"/>
      <c r="P841" s="30"/>
      <c r="Q841" s="554"/>
    </row>
    <row r="842" spans="14:17">
      <c r="N842" s="30"/>
      <c r="O842" s="30"/>
      <c r="P842" s="30"/>
      <c r="Q842" s="554"/>
    </row>
    <row r="843" spans="14:17">
      <c r="N843" s="30"/>
      <c r="O843" s="30"/>
      <c r="P843" s="30"/>
      <c r="Q843" s="554"/>
    </row>
    <row r="844" spans="14:17">
      <c r="N844" s="30"/>
      <c r="O844" s="30"/>
      <c r="P844" s="30"/>
      <c r="Q844" s="554"/>
    </row>
    <row r="845" spans="14:17">
      <c r="N845" s="30"/>
      <c r="O845" s="30"/>
      <c r="P845" s="30"/>
      <c r="Q845" s="554"/>
    </row>
    <row r="846" spans="14:17">
      <c r="N846" s="30"/>
      <c r="O846" s="30"/>
      <c r="P846" s="30"/>
      <c r="Q846" s="554"/>
    </row>
    <row r="847" spans="14:17">
      <c r="N847" s="30"/>
      <c r="O847" s="30"/>
      <c r="P847" s="30"/>
      <c r="Q847" s="554"/>
    </row>
    <row r="848" spans="14:17">
      <c r="N848" s="30"/>
      <c r="O848" s="30"/>
      <c r="P848" s="30"/>
      <c r="Q848" s="554"/>
    </row>
    <row r="849" spans="14:17">
      <c r="N849" s="30"/>
      <c r="O849" s="30"/>
      <c r="P849" s="30"/>
      <c r="Q849" s="554"/>
    </row>
    <row r="850" spans="14:17">
      <c r="N850" s="30"/>
      <c r="O850" s="30"/>
      <c r="P850" s="30"/>
      <c r="Q850" s="554"/>
    </row>
    <row r="851" spans="14:17">
      <c r="N851" s="30"/>
      <c r="O851" s="30"/>
      <c r="P851" s="30"/>
      <c r="Q851" s="554"/>
    </row>
    <row r="852" spans="14:17">
      <c r="N852" s="30"/>
      <c r="O852" s="30"/>
      <c r="P852" s="30"/>
      <c r="Q852" s="554"/>
    </row>
    <row r="853" spans="14:17">
      <c r="N853" s="30"/>
      <c r="O853" s="30"/>
      <c r="P853" s="30"/>
      <c r="Q853" s="554"/>
    </row>
    <row r="854" spans="14:17">
      <c r="N854" s="30"/>
      <c r="O854" s="30"/>
      <c r="P854" s="30"/>
      <c r="Q854" s="554"/>
    </row>
    <row r="855" spans="14:17">
      <c r="N855" s="30"/>
      <c r="O855" s="30"/>
      <c r="P855" s="30"/>
      <c r="Q855" s="554"/>
    </row>
    <row r="856" spans="14:17">
      <c r="N856" s="30"/>
      <c r="O856" s="30"/>
      <c r="P856" s="30"/>
      <c r="Q856" s="554"/>
    </row>
    <row r="857" spans="14:17">
      <c r="N857" s="30"/>
      <c r="O857" s="30"/>
      <c r="P857" s="30"/>
      <c r="Q857" s="554"/>
    </row>
    <row r="858" spans="14:17">
      <c r="N858" s="30"/>
      <c r="O858" s="30"/>
      <c r="P858" s="30"/>
      <c r="Q858" s="554"/>
    </row>
    <row r="859" spans="14:17">
      <c r="N859" s="30"/>
      <c r="O859" s="30"/>
      <c r="P859" s="30"/>
      <c r="Q859" s="554"/>
    </row>
    <row r="860" spans="14:17">
      <c r="N860" s="30"/>
      <c r="O860" s="30"/>
      <c r="P860" s="30"/>
      <c r="Q860" s="554"/>
    </row>
    <row r="861" spans="14:17">
      <c r="N861" s="30"/>
      <c r="O861" s="30"/>
      <c r="P861" s="30"/>
      <c r="Q861" s="554"/>
    </row>
    <row r="862" spans="14:17">
      <c r="N862" s="30"/>
      <c r="O862" s="30"/>
      <c r="P862" s="30"/>
      <c r="Q862" s="554"/>
    </row>
    <row r="863" spans="14:17">
      <c r="N863" s="30"/>
      <c r="O863" s="30"/>
      <c r="P863" s="30"/>
      <c r="Q863" s="554"/>
    </row>
    <row r="864" spans="14:17">
      <c r="N864" s="30"/>
      <c r="O864" s="30"/>
      <c r="P864" s="30"/>
      <c r="Q864" s="554"/>
    </row>
    <row r="865" spans="14:17">
      <c r="N865" s="30"/>
      <c r="O865" s="30"/>
      <c r="P865" s="30"/>
      <c r="Q865" s="554"/>
    </row>
    <row r="866" spans="14:17">
      <c r="N866" s="30"/>
      <c r="O866" s="30"/>
      <c r="P866" s="30"/>
      <c r="Q866" s="554"/>
    </row>
    <row r="867" spans="14:17">
      <c r="N867" s="30"/>
      <c r="O867" s="30"/>
      <c r="P867" s="30"/>
      <c r="Q867" s="554"/>
    </row>
    <row r="868" spans="14:17">
      <c r="N868" s="30"/>
      <c r="O868" s="30"/>
      <c r="P868" s="30"/>
      <c r="Q868" s="554"/>
    </row>
    <row r="869" spans="14:17">
      <c r="N869" s="30"/>
      <c r="O869" s="30"/>
      <c r="P869" s="30"/>
      <c r="Q869" s="554"/>
    </row>
    <row r="870" spans="14:17">
      <c r="N870" s="30"/>
      <c r="O870" s="30"/>
      <c r="P870" s="30"/>
      <c r="Q870" s="554"/>
    </row>
    <row r="871" spans="14:17">
      <c r="N871" s="30"/>
      <c r="O871" s="30"/>
      <c r="P871" s="30"/>
      <c r="Q871" s="554"/>
    </row>
    <row r="872" spans="14:17">
      <c r="N872" s="30"/>
      <c r="O872" s="30"/>
      <c r="P872" s="30"/>
      <c r="Q872" s="554"/>
    </row>
    <row r="873" spans="14:17">
      <c r="N873" s="30"/>
      <c r="O873" s="30"/>
      <c r="P873" s="30"/>
      <c r="Q873" s="554"/>
    </row>
    <row r="874" spans="14:17">
      <c r="N874" s="30"/>
      <c r="O874" s="30"/>
      <c r="P874" s="30"/>
      <c r="Q874" s="554"/>
    </row>
    <row r="875" spans="14:17">
      <c r="N875" s="30"/>
      <c r="O875" s="30"/>
      <c r="P875" s="30"/>
      <c r="Q875" s="554"/>
    </row>
    <row r="876" spans="14:17">
      <c r="N876" s="30"/>
      <c r="O876" s="30"/>
      <c r="P876" s="30"/>
      <c r="Q876" s="554"/>
    </row>
    <row r="877" spans="14:17">
      <c r="N877" s="30"/>
      <c r="O877" s="30"/>
      <c r="P877" s="30"/>
      <c r="Q877" s="554"/>
    </row>
    <row r="878" spans="14:17">
      <c r="N878" s="30"/>
      <c r="O878" s="30"/>
      <c r="P878" s="30"/>
      <c r="Q878" s="554"/>
    </row>
    <row r="879" spans="14:17">
      <c r="N879" s="30"/>
      <c r="O879" s="30"/>
      <c r="P879" s="30"/>
      <c r="Q879" s="554"/>
    </row>
    <row r="880" spans="14:17">
      <c r="N880" s="30"/>
      <c r="O880" s="30"/>
      <c r="P880" s="30"/>
      <c r="Q880" s="554"/>
    </row>
    <row r="881" spans="14:17">
      <c r="N881" s="30"/>
      <c r="O881" s="30"/>
      <c r="P881" s="30"/>
      <c r="Q881" s="554"/>
    </row>
    <row r="882" spans="14:17">
      <c r="N882" s="30"/>
      <c r="O882" s="30"/>
      <c r="P882" s="30"/>
      <c r="Q882" s="554"/>
    </row>
    <row r="883" spans="14:17">
      <c r="N883" s="30"/>
      <c r="O883" s="30"/>
      <c r="P883" s="30"/>
      <c r="Q883" s="554"/>
    </row>
    <row r="884" spans="14:17">
      <c r="N884" s="30"/>
      <c r="O884" s="30"/>
      <c r="P884" s="30"/>
      <c r="Q884" s="554"/>
    </row>
    <row r="885" spans="14:17">
      <c r="N885" s="30"/>
      <c r="O885" s="30"/>
      <c r="P885" s="30"/>
      <c r="Q885" s="554"/>
    </row>
    <row r="886" spans="14:17">
      <c r="N886" s="30"/>
      <c r="O886" s="30"/>
      <c r="P886" s="30"/>
      <c r="Q886" s="554"/>
    </row>
    <row r="887" spans="14:17">
      <c r="N887" s="30"/>
      <c r="O887" s="30"/>
      <c r="P887" s="30"/>
      <c r="Q887" s="554"/>
    </row>
    <row r="888" spans="14:17">
      <c r="N888" s="30"/>
      <c r="O888" s="30"/>
      <c r="P888" s="30"/>
      <c r="Q888" s="554"/>
    </row>
    <row r="889" spans="14:17">
      <c r="N889" s="30"/>
      <c r="O889" s="30"/>
      <c r="P889" s="30"/>
      <c r="Q889" s="554"/>
    </row>
    <row r="890" spans="14:17">
      <c r="N890" s="30"/>
      <c r="O890" s="30"/>
      <c r="P890" s="30"/>
      <c r="Q890" s="554"/>
    </row>
    <row r="891" spans="14:17">
      <c r="N891" s="30"/>
      <c r="O891" s="30"/>
      <c r="P891" s="30"/>
      <c r="Q891" s="554"/>
    </row>
    <row r="892" spans="14:17">
      <c r="N892" s="30"/>
      <c r="O892" s="30"/>
      <c r="P892" s="30"/>
      <c r="Q892" s="554"/>
    </row>
    <row r="893" spans="14:17">
      <c r="N893" s="30"/>
      <c r="O893" s="30"/>
      <c r="P893" s="30"/>
      <c r="Q893" s="554"/>
    </row>
    <row r="894" spans="14:17">
      <c r="N894" s="30"/>
      <c r="O894" s="30"/>
      <c r="P894" s="30"/>
      <c r="Q894" s="554"/>
    </row>
    <row r="895" spans="14:17">
      <c r="N895" s="30"/>
      <c r="O895" s="30"/>
      <c r="P895" s="30"/>
      <c r="Q895" s="554"/>
    </row>
    <row r="896" spans="14:17">
      <c r="N896" s="30"/>
      <c r="O896" s="30"/>
      <c r="P896" s="30"/>
      <c r="Q896" s="554"/>
    </row>
    <row r="897" spans="14:17">
      <c r="N897" s="30"/>
      <c r="O897" s="30"/>
      <c r="P897" s="30"/>
      <c r="Q897" s="554"/>
    </row>
    <row r="898" spans="14:17">
      <c r="N898" s="30"/>
      <c r="O898" s="30"/>
      <c r="P898" s="30"/>
      <c r="Q898" s="554"/>
    </row>
    <row r="899" spans="14:17">
      <c r="N899" s="30"/>
      <c r="O899" s="30"/>
      <c r="P899" s="30"/>
      <c r="Q899" s="554"/>
    </row>
    <row r="900" spans="14:17">
      <c r="N900" s="30"/>
      <c r="O900" s="30"/>
      <c r="P900" s="30"/>
      <c r="Q900" s="554"/>
    </row>
    <row r="901" spans="14:17">
      <c r="N901" s="30"/>
      <c r="O901" s="30"/>
      <c r="P901" s="30"/>
      <c r="Q901" s="554"/>
    </row>
    <row r="902" spans="14:17">
      <c r="N902" s="30"/>
      <c r="O902" s="30"/>
      <c r="P902" s="30"/>
      <c r="Q902" s="554"/>
    </row>
    <row r="903" spans="14:17">
      <c r="N903" s="30"/>
      <c r="O903" s="30"/>
      <c r="P903" s="30"/>
      <c r="Q903" s="554"/>
    </row>
    <row r="904" spans="14:17">
      <c r="N904" s="30"/>
      <c r="O904" s="30"/>
      <c r="P904" s="30"/>
      <c r="Q904" s="554"/>
    </row>
    <row r="905" spans="14:17">
      <c r="N905" s="30"/>
      <c r="O905" s="30"/>
      <c r="P905" s="30"/>
      <c r="Q905" s="554"/>
    </row>
    <row r="906" spans="14:17">
      <c r="N906" s="30"/>
      <c r="O906" s="30"/>
      <c r="P906" s="30"/>
      <c r="Q906" s="554"/>
    </row>
    <row r="907" spans="14:17">
      <c r="N907" s="30"/>
      <c r="O907" s="30"/>
      <c r="P907" s="30"/>
      <c r="Q907" s="554"/>
    </row>
    <row r="908" spans="14:17">
      <c r="N908" s="30"/>
      <c r="O908" s="30"/>
      <c r="P908" s="30"/>
      <c r="Q908" s="554"/>
    </row>
    <row r="909" spans="14:17">
      <c r="N909" s="30"/>
      <c r="O909" s="30"/>
      <c r="P909" s="30"/>
      <c r="Q909" s="554"/>
    </row>
    <row r="910" spans="14:17">
      <c r="N910" s="30"/>
      <c r="O910" s="30"/>
      <c r="P910" s="30"/>
      <c r="Q910" s="554"/>
    </row>
    <row r="911" spans="14:17">
      <c r="N911" s="30"/>
      <c r="O911" s="30"/>
      <c r="P911" s="30"/>
      <c r="Q911" s="554"/>
    </row>
    <row r="912" spans="14:17">
      <c r="N912" s="30"/>
      <c r="O912" s="30"/>
      <c r="P912" s="30"/>
      <c r="Q912" s="554"/>
    </row>
    <row r="913" spans="14:17">
      <c r="N913" s="30"/>
      <c r="O913" s="30"/>
      <c r="P913" s="30"/>
      <c r="Q913" s="554"/>
    </row>
    <row r="914" spans="14:17">
      <c r="N914" s="30"/>
      <c r="O914" s="30"/>
      <c r="P914" s="30"/>
      <c r="Q914" s="554"/>
    </row>
    <row r="915" spans="14:17">
      <c r="N915" s="30"/>
      <c r="O915" s="30"/>
      <c r="P915" s="30"/>
      <c r="Q915" s="554"/>
    </row>
    <row r="916" spans="14:17">
      <c r="N916" s="30"/>
      <c r="O916" s="30"/>
      <c r="P916" s="30"/>
      <c r="Q916" s="554"/>
    </row>
    <row r="917" spans="14:17">
      <c r="N917" s="30"/>
      <c r="O917" s="30"/>
      <c r="P917" s="30"/>
      <c r="Q917" s="554"/>
    </row>
    <row r="918" spans="14:17">
      <c r="N918" s="30"/>
      <c r="O918" s="30"/>
      <c r="P918" s="30"/>
      <c r="Q918" s="554"/>
    </row>
    <row r="919" spans="14:17">
      <c r="N919" s="30"/>
      <c r="O919" s="30"/>
      <c r="P919" s="30"/>
      <c r="Q919" s="554"/>
    </row>
    <row r="920" spans="14:17">
      <c r="N920" s="30"/>
      <c r="O920" s="30"/>
      <c r="P920" s="30"/>
      <c r="Q920" s="554"/>
    </row>
    <row r="921" spans="14:17">
      <c r="N921" s="30"/>
      <c r="O921" s="30"/>
      <c r="P921" s="30"/>
      <c r="Q921" s="554"/>
    </row>
    <row r="922" spans="14:17">
      <c r="N922" s="30"/>
      <c r="O922" s="30"/>
      <c r="P922" s="30"/>
      <c r="Q922" s="554"/>
    </row>
    <row r="923" spans="14:17">
      <c r="N923" s="30"/>
      <c r="O923" s="30"/>
      <c r="P923" s="30"/>
      <c r="Q923" s="554"/>
    </row>
    <row r="924" spans="14:17">
      <c r="N924" s="30"/>
      <c r="O924" s="30"/>
      <c r="P924" s="30"/>
      <c r="Q924" s="554"/>
    </row>
    <row r="925" spans="14:17">
      <c r="N925" s="30"/>
      <c r="O925" s="30"/>
      <c r="P925" s="30"/>
      <c r="Q925" s="554"/>
    </row>
    <row r="926" spans="14:17">
      <c r="N926" s="30"/>
      <c r="O926" s="30"/>
      <c r="P926" s="30"/>
      <c r="Q926" s="554"/>
    </row>
    <row r="927" spans="14:17">
      <c r="N927" s="30"/>
      <c r="O927" s="30"/>
      <c r="P927" s="30"/>
      <c r="Q927" s="554"/>
    </row>
    <row r="928" spans="14:17">
      <c r="N928" s="30"/>
      <c r="O928" s="30"/>
      <c r="P928" s="30"/>
      <c r="Q928" s="554"/>
    </row>
    <row r="929" spans="14:17">
      <c r="N929" s="30"/>
      <c r="O929" s="30"/>
      <c r="P929" s="30"/>
      <c r="Q929" s="554"/>
    </row>
    <row r="930" spans="14:17">
      <c r="N930" s="30"/>
      <c r="O930" s="30"/>
      <c r="P930" s="30"/>
      <c r="Q930" s="554"/>
    </row>
    <row r="931" spans="14:17">
      <c r="N931" s="30"/>
      <c r="O931" s="30"/>
      <c r="P931" s="30"/>
      <c r="Q931" s="554"/>
    </row>
    <row r="932" spans="14:17">
      <c r="N932" s="30"/>
      <c r="O932" s="30"/>
      <c r="P932" s="30"/>
      <c r="Q932" s="554"/>
    </row>
    <row r="933" spans="14:17">
      <c r="N933" s="30"/>
      <c r="O933" s="30"/>
      <c r="P933" s="30"/>
      <c r="Q933" s="554"/>
    </row>
    <row r="934" spans="14:17">
      <c r="N934" s="30"/>
      <c r="O934" s="30"/>
      <c r="P934" s="30"/>
      <c r="Q934" s="554"/>
    </row>
    <row r="935" spans="14:17">
      <c r="N935" s="30"/>
      <c r="O935" s="30"/>
      <c r="P935" s="30"/>
      <c r="Q935" s="554"/>
    </row>
    <row r="936" spans="14:17">
      <c r="N936" s="30"/>
      <c r="O936" s="30"/>
      <c r="P936" s="30"/>
      <c r="Q936" s="554"/>
    </row>
    <row r="937" spans="14:17">
      <c r="N937" s="30"/>
      <c r="O937" s="30"/>
      <c r="P937" s="30"/>
      <c r="Q937" s="554"/>
    </row>
    <row r="938" spans="14:17">
      <c r="N938" s="30"/>
      <c r="O938" s="30"/>
      <c r="P938" s="30"/>
      <c r="Q938" s="554"/>
    </row>
    <row r="939" spans="14:17">
      <c r="N939" s="30"/>
      <c r="O939" s="30"/>
      <c r="P939" s="30"/>
      <c r="Q939" s="554"/>
    </row>
    <row r="940" spans="14:17">
      <c r="N940" s="30"/>
      <c r="O940" s="30"/>
      <c r="P940" s="30"/>
      <c r="Q940" s="554"/>
    </row>
    <row r="941" spans="14:17">
      <c r="N941" s="30"/>
      <c r="O941" s="30"/>
      <c r="P941" s="30"/>
      <c r="Q941" s="554"/>
    </row>
    <row r="942" spans="14:17">
      <c r="N942" s="30"/>
      <c r="O942" s="30"/>
      <c r="P942" s="30"/>
      <c r="Q942" s="554"/>
    </row>
    <row r="943" spans="14:17">
      <c r="N943" s="30"/>
      <c r="O943" s="30"/>
      <c r="P943" s="30"/>
      <c r="Q943" s="554"/>
    </row>
    <row r="944" spans="14:17">
      <c r="N944" s="30"/>
      <c r="O944" s="30"/>
      <c r="P944" s="30"/>
      <c r="Q944" s="554"/>
    </row>
    <row r="945" spans="14:17">
      <c r="N945" s="30"/>
      <c r="O945" s="30"/>
      <c r="P945" s="30"/>
      <c r="Q945" s="554"/>
    </row>
    <row r="946" spans="14:17">
      <c r="N946" s="30"/>
      <c r="O946" s="30"/>
      <c r="P946" s="30"/>
      <c r="Q946" s="554"/>
    </row>
    <row r="947" spans="14:17">
      <c r="N947" s="30"/>
      <c r="O947" s="30"/>
      <c r="P947" s="30"/>
      <c r="Q947" s="554"/>
    </row>
    <row r="948" spans="14:17">
      <c r="N948" s="30"/>
      <c r="O948" s="30"/>
      <c r="P948" s="30"/>
      <c r="Q948" s="554"/>
    </row>
    <row r="949" spans="14:17">
      <c r="N949" s="30"/>
      <c r="O949" s="30"/>
      <c r="P949" s="30"/>
      <c r="Q949" s="554"/>
    </row>
    <row r="950" spans="14:17">
      <c r="N950" s="30"/>
      <c r="O950" s="30"/>
      <c r="P950" s="30"/>
      <c r="Q950" s="554"/>
    </row>
    <row r="951" spans="14:17">
      <c r="N951" s="30"/>
      <c r="O951" s="30"/>
      <c r="P951" s="30"/>
      <c r="Q951" s="554"/>
    </row>
    <row r="952" spans="14:17">
      <c r="N952" s="30"/>
      <c r="O952" s="30"/>
      <c r="P952" s="30"/>
      <c r="Q952" s="554"/>
    </row>
    <row r="953" spans="14:17">
      <c r="N953" s="30"/>
      <c r="O953" s="30"/>
      <c r="P953" s="30"/>
      <c r="Q953" s="554"/>
    </row>
    <row r="954" spans="14:17">
      <c r="N954" s="30"/>
      <c r="O954" s="30"/>
      <c r="P954" s="30"/>
      <c r="Q954" s="554"/>
    </row>
    <row r="955" spans="14:17">
      <c r="N955" s="30"/>
      <c r="O955" s="30"/>
      <c r="P955" s="30"/>
      <c r="Q955" s="554"/>
    </row>
    <row r="956" spans="14:17">
      <c r="N956" s="30"/>
      <c r="O956" s="30"/>
      <c r="P956" s="30"/>
      <c r="Q956" s="554"/>
    </row>
    <row r="957" spans="14:17">
      <c r="N957" s="30"/>
      <c r="O957" s="30"/>
      <c r="P957" s="30"/>
      <c r="Q957" s="554"/>
    </row>
    <row r="958" spans="14:17">
      <c r="N958" s="30"/>
      <c r="O958" s="30"/>
      <c r="P958" s="30"/>
      <c r="Q958" s="554"/>
    </row>
    <row r="959" spans="14:17">
      <c r="N959" s="30"/>
      <c r="O959" s="30"/>
      <c r="P959" s="30"/>
      <c r="Q959" s="554"/>
    </row>
    <row r="960" spans="14:17">
      <c r="N960" s="30"/>
      <c r="O960" s="30"/>
      <c r="P960" s="30"/>
      <c r="Q960" s="554"/>
    </row>
    <row r="961" spans="14:17">
      <c r="N961" s="30"/>
      <c r="O961" s="30"/>
      <c r="P961" s="30"/>
      <c r="Q961" s="554"/>
    </row>
    <row r="962" spans="14:17">
      <c r="N962" s="30"/>
      <c r="O962" s="30"/>
      <c r="P962" s="30"/>
      <c r="Q962" s="554"/>
    </row>
    <row r="963" spans="14:17">
      <c r="N963" s="30"/>
      <c r="O963" s="30"/>
      <c r="P963" s="30"/>
      <c r="Q963" s="554"/>
    </row>
    <row r="964" spans="14:17">
      <c r="N964" s="30"/>
      <c r="O964" s="30"/>
      <c r="P964" s="30"/>
      <c r="Q964" s="554"/>
    </row>
    <row r="965" spans="14:17">
      <c r="N965" s="30"/>
      <c r="O965" s="30"/>
      <c r="P965" s="30"/>
      <c r="Q965" s="554"/>
    </row>
    <row r="966" spans="14:17">
      <c r="N966" s="30"/>
      <c r="O966" s="30"/>
      <c r="P966" s="30"/>
      <c r="Q966" s="554"/>
    </row>
    <row r="967" spans="14:17">
      <c r="N967" s="30"/>
      <c r="O967" s="30"/>
      <c r="P967" s="30"/>
      <c r="Q967" s="554"/>
    </row>
    <row r="968" spans="14:17">
      <c r="N968" s="30"/>
      <c r="O968" s="30"/>
      <c r="P968" s="30"/>
      <c r="Q968" s="554"/>
    </row>
    <row r="969" spans="14:17">
      <c r="N969" s="30"/>
      <c r="O969" s="30"/>
      <c r="P969" s="30"/>
      <c r="Q969" s="554"/>
    </row>
    <row r="970" spans="14:17">
      <c r="N970" s="30"/>
      <c r="O970" s="30"/>
      <c r="P970" s="30"/>
      <c r="Q970" s="554"/>
    </row>
    <row r="971" spans="14:17">
      <c r="N971" s="30"/>
      <c r="O971" s="30"/>
      <c r="P971" s="30"/>
      <c r="Q971" s="554"/>
    </row>
    <row r="972" spans="14:17">
      <c r="N972" s="30"/>
      <c r="O972" s="30"/>
      <c r="P972" s="30"/>
      <c r="Q972" s="554"/>
    </row>
    <row r="973" spans="14:17">
      <c r="N973" s="30"/>
      <c r="O973" s="30"/>
      <c r="P973" s="30"/>
      <c r="Q973" s="554"/>
    </row>
    <row r="974" spans="14:17">
      <c r="N974" s="30"/>
      <c r="O974" s="30"/>
      <c r="P974" s="30"/>
      <c r="Q974" s="554"/>
    </row>
    <row r="975" spans="14:17">
      <c r="N975" s="30"/>
      <c r="O975" s="30"/>
      <c r="P975" s="30"/>
      <c r="Q975" s="554"/>
    </row>
    <row r="976" spans="14:17">
      <c r="N976" s="30"/>
      <c r="O976" s="30"/>
      <c r="P976" s="30"/>
      <c r="Q976" s="554"/>
    </row>
    <row r="977" spans="14:17">
      <c r="N977" s="30"/>
      <c r="O977" s="30"/>
      <c r="P977" s="30"/>
      <c r="Q977" s="554"/>
    </row>
    <row r="978" spans="14:17">
      <c r="N978" s="30"/>
      <c r="O978" s="30"/>
      <c r="P978" s="30"/>
      <c r="Q978" s="554"/>
    </row>
    <row r="979" spans="14:17">
      <c r="N979" s="30"/>
      <c r="O979" s="30"/>
      <c r="P979" s="30"/>
      <c r="Q979" s="554"/>
    </row>
    <row r="980" spans="14:17">
      <c r="N980" s="30"/>
      <c r="O980" s="30"/>
      <c r="P980" s="30"/>
      <c r="Q980" s="554"/>
    </row>
    <row r="981" spans="14:17">
      <c r="N981" s="30"/>
      <c r="O981" s="30"/>
      <c r="P981" s="30"/>
      <c r="Q981" s="554"/>
    </row>
    <row r="982" spans="14:17">
      <c r="N982" s="30"/>
      <c r="O982" s="30"/>
      <c r="P982" s="30"/>
      <c r="Q982" s="554"/>
    </row>
    <row r="983" spans="14:17">
      <c r="N983" s="30"/>
      <c r="O983" s="30"/>
      <c r="P983" s="30"/>
      <c r="Q983" s="554"/>
    </row>
    <row r="984" spans="14:17">
      <c r="N984" s="30"/>
      <c r="O984" s="30"/>
      <c r="P984" s="30"/>
      <c r="Q984" s="554"/>
    </row>
    <row r="985" spans="14:17">
      <c r="N985" s="30"/>
      <c r="O985" s="30"/>
      <c r="P985" s="30"/>
      <c r="Q985" s="554"/>
    </row>
    <row r="986" spans="14:17">
      <c r="N986" s="30"/>
      <c r="O986" s="30"/>
      <c r="P986" s="30"/>
      <c r="Q986" s="554"/>
    </row>
    <row r="987" spans="14:17">
      <c r="N987" s="30"/>
      <c r="O987" s="30"/>
      <c r="P987" s="30"/>
      <c r="Q987" s="554"/>
    </row>
    <row r="988" spans="14:17">
      <c r="N988" s="30"/>
      <c r="O988" s="30"/>
      <c r="P988" s="30"/>
      <c r="Q988" s="554"/>
    </row>
    <row r="989" spans="14:17">
      <c r="N989" s="30"/>
      <c r="O989" s="30"/>
      <c r="P989" s="30"/>
      <c r="Q989" s="554"/>
    </row>
    <row r="990" spans="14:17">
      <c r="N990" s="30"/>
      <c r="O990" s="30"/>
      <c r="P990" s="30"/>
      <c r="Q990" s="554"/>
    </row>
    <row r="991" spans="14:17">
      <c r="N991" s="30"/>
      <c r="O991" s="30"/>
      <c r="P991" s="30"/>
      <c r="Q991" s="554"/>
    </row>
    <row r="992" spans="14:17">
      <c r="N992" s="30"/>
      <c r="O992" s="30"/>
      <c r="P992" s="30"/>
      <c r="Q992" s="554"/>
    </row>
    <row r="993" spans="14:17">
      <c r="N993" s="30"/>
      <c r="O993" s="30"/>
      <c r="P993" s="30"/>
      <c r="Q993" s="554"/>
    </row>
    <row r="994" spans="14:17">
      <c r="N994" s="30"/>
      <c r="O994" s="30"/>
      <c r="P994" s="30"/>
      <c r="Q994" s="554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M43" sqref="M43"/>
    </sheetView>
  </sheetViews>
  <sheetFormatPr defaultColWidth="9.140625" defaultRowHeight="12.75"/>
  <cols>
    <col min="1" max="1" width="8" style="281" bestFit="1" customWidth="1"/>
    <col min="2" max="2" width="49.7109375" style="281" customWidth="1"/>
    <col min="3" max="3" width="5.5703125" style="313" bestFit="1" customWidth="1"/>
    <col min="4" max="5" width="4.28515625" style="313" bestFit="1" customWidth="1"/>
    <col min="6" max="6" width="13.5703125" style="313" bestFit="1" customWidth="1"/>
    <col min="7" max="7" width="11.42578125" style="282" bestFit="1" customWidth="1"/>
    <col min="8" max="9" width="13.140625" style="282" customWidth="1"/>
    <col min="10" max="10" width="11.28515625" style="282" customWidth="1"/>
    <col min="11" max="11" width="11.28515625" style="282" bestFit="1" customWidth="1"/>
    <col min="12" max="12" width="11.42578125" style="282" bestFit="1" customWidth="1"/>
    <col min="13" max="13" width="10" style="282" customWidth="1"/>
    <col min="14" max="14" width="14" style="281" bestFit="1" customWidth="1"/>
    <col min="15" max="15" width="15" style="281" customWidth="1"/>
    <col min="16" max="16" width="12.42578125" style="281" customWidth="1"/>
    <col min="17" max="16384" width="9.140625" style="281"/>
  </cols>
  <sheetData>
    <row r="1" spans="1:13" ht="21">
      <c r="B1" s="817" t="s">
        <v>292</v>
      </c>
      <c r="C1" s="817"/>
      <c r="D1" s="817"/>
      <c r="E1" s="817"/>
      <c r="F1" s="817"/>
      <c r="G1" s="817"/>
      <c r="H1" s="817"/>
      <c r="I1" s="817"/>
      <c r="J1" s="817"/>
      <c r="K1" s="817"/>
      <c r="L1" s="817"/>
    </row>
    <row r="2" spans="1:13" ht="21">
      <c r="B2" s="817" t="s">
        <v>235</v>
      </c>
      <c r="C2" s="817"/>
      <c r="D2" s="817"/>
      <c r="E2" s="817"/>
      <c r="F2" s="817"/>
      <c r="G2" s="817"/>
      <c r="H2" s="817"/>
      <c r="I2" s="817"/>
      <c r="J2" s="817"/>
      <c r="K2" s="817"/>
      <c r="L2" s="817"/>
    </row>
    <row r="3" spans="1:13" ht="21">
      <c r="B3" s="817" t="str">
        <f>封面!E10&amp;封面!H10&amp;封面!I10&amp;封面!J10&amp;封面!K10&amp;封面!L10</f>
        <v>中華民國112年7月份</v>
      </c>
      <c r="C3" s="817"/>
      <c r="D3" s="817"/>
      <c r="E3" s="817"/>
      <c r="F3" s="817"/>
      <c r="G3" s="817"/>
      <c r="H3" s="817"/>
      <c r="I3" s="817"/>
      <c r="J3" s="817"/>
      <c r="K3" s="817"/>
      <c r="L3" s="817"/>
    </row>
    <row r="4" spans="1:13" ht="21">
      <c r="B4" s="283" t="s">
        <v>307</v>
      </c>
      <c r="C4" s="284"/>
      <c r="D4" s="284"/>
      <c r="E4" s="284"/>
      <c r="F4" s="284"/>
      <c r="G4" s="285"/>
      <c r="H4" s="285"/>
      <c r="I4" s="285"/>
      <c r="J4" s="818"/>
      <c r="K4" s="818"/>
      <c r="L4" s="819"/>
    </row>
    <row r="5" spans="1:13" ht="16.5">
      <c r="A5" s="820" t="s">
        <v>236</v>
      </c>
      <c r="B5" s="821"/>
      <c r="C5" s="824" t="s">
        <v>237</v>
      </c>
      <c r="D5" s="824"/>
      <c r="E5" s="824"/>
      <c r="F5" s="825" t="s">
        <v>238</v>
      </c>
      <c r="G5" s="827" t="s">
        <v>239</v>
      </c>
      <c r="H5" s="828"/>
      <c r="I5" s="828"/>
      <c r="J5" s="828"/>
      <c r="K5" s="828"/>
      <c r="L5" s="829"/>
    </row>
    <row r="6" spans="1:13" ht="39.75" customHeight="1">
      <c r="A6" s="822"/>
      <c r="B6" s="823"/>
      <c r="C6" s="280" t="s">
        <v>240</v>
      </c>
      <c r="D6" s="280" t="s">
        <v>241</v>
      </c>
      <c r="E6" s="280" t="s">
        <v>242</v>
      </c>
      <c r="F6" s="826"/>
      <c r="G6" s="286" t="s">
        <v>285</v>
      </c>
      <c r="H6" s="286" t="s">
        <v>286</v>
      </c>
      <c r="I6" s="286" t="s">
        <v>287</v>
      </c>
      <c r="J6" s="286" t="s">
        <v>289</v>
      </c>
      <c r="K6" s="286" t="s">
        <v>288</v>
      </c>
      <c r="L6" s="286" t="s">
        <v>290</v>
      </c>
    </row>
    <row r="7" spans="1:13" ht="21">
      <c r="A7" s="830" t="s">
        <v>243</v>
      </c>
      <c r="B7" s="831"/>
      <c r="C7" s="280"/>
      <c r="D7" s="280"/>
      <c r="E7" s="280"/>
      <c r="F7" s="287"/>
      <c r="G7" s="832">
        <f>SUM(G8:L9)</f>
        <v>8322928</v>
      </c>
      <c r="H7" s="833"/>
      <c r="I7" s="833"/>
      <c r="J7" s="833"/>
      <c r="K7" s="833"/>
      <c r="L7" s="834"/>
      <c r="M7" s="293">
        <f>SUM(G7:L7)</f>
        <v>8322928</v>
      </c>
    </row>
    <row r="8" spans="1:13" ht="16.5">
      <c r="A8" s="830" t="s">
        <v>244</v>
      </c>
      <c r="B8" s="831"/>
      <c r="C8" s="288"/>
      <c r="D8" s="288"/>
      <c r="E8" s="288"/>
      <c r="F8" s="289"/>
      <c r="G8" s="290">
        <f>'勾稽 (2)'!D25</f>
        <v>3</v>
      </c>
      <c r="H8" s="290">
        <f>'勾稽 (2)'!D26</f>
        <v>4699216</v>
      </c>
      <c r="I8" s="290">
        <f>'勾稽 (2)'!D27</f>
        <v>806433</v>
      </c>
      <c r="J8" s="290">
        <f>'勾稽 (2)'!D28</f>
        <v>917178</v>
      </c>
      <c r="K8" s="290">
        <f>'勾稽 (2)'!D29</f>
        <v>0</v>
      </c>
      <c r="L8" s="290">
        <f>'勾稽 (2)'!D30</f>
        <v>98</v>
      </c>
      <c r="M8" s="293">
        <f>SUM(G8:L8)</f>
        <v>6422928</v>
      </c>
    </row>
    <row r="9" spans="1:13" ht="16.5">
      <c r="A9" s="550"/>
      <c r="B9" s="551" t="s">
        <v>448</v>
      </c>
      <c r="C9" s="288"/>
      <c r="D9" s="288"/>
      <c r="E9" s="288"/>
      <c r="F9" s="289"/>
      <c r="G9" s="290"/>
      <c r="H9" s="290"/>
      <c r="I9" s="290"/>
      <c r="J9" s="290">
        <f>'勾稽 (2)'!E28</f>
        <v>1900000</v>
      </c>
      <c r="K9" s="290"/>
      <c r="L9" s="290"/>
      <c r="M9" s="293">
        <f>SUM(G9:L9)</f>
        <v>1900000</v>
      </c>
    </row>
    <row r="10" spans="1:13" ht="16.5">
      <c r="A10" s="830" t="s">
        <v>245</v>
      </c>
      <c r="B10" s="831"/>
      <c r="C10" s="291"/>
      <c r="D10" s="291"/>
      <c r="E10" s="291"/>
      <c r="F10" s="289"/>
      <c r="G10" s="292">
        <f t="shared" ref="G10:J10" si="0">SUM(G11:G13)</f>
        <v>0</v>
      </c>
      <c r="H10" s="292">
        <f t="shared" si="0"/>
        <v>200000</v>
      </c>
      <c r="I10" s="292">
        <f t="shared" si="0"/>
        <v>0</v>
      </c>
      <c r="J10" s="292">
        <f t="shared" si="0"/>
        <v>0</v>
      </c>
      <c r="K10" s="292">
        <f t="shared" ref="K10" si="1">SUM(K11:K13)</f>
        <v>0</v>
      </c>
      <c r="L10" s="292">
        <f>SUM(L11:L13)</f>
        <v>0</v>
      </c>
      <c r="M10" s="293">
        <f>SUM(G10:L10)</f>
        <v>200000</v>
      </c>
    </row>
    <row r="11" spans="1:13" ht="16.5">
      <c r="A11" s="319" t="s">
        <v>246</v>
      </c>
      <c r="B11" s="320"/>
      <c r="C11" s="291"/>
      <c r="D11" s="291"/>
      <c r="E11" s="291"/>
      <c r="F11" s="289"/>
      <c r="G11" s="294"/>
      <c r="H11" s="294">
        <v>200000</v>
      </c>
      <c r="I11" s="294"/>
      <c r="J11" s="294"/>
      <c r="K11" s="294"/>
      <c r="L11" s="294"/>
      <c r="M11" s="293"/>
    </row>
    <row r="12" spans="1:13" ht="16.5">
      <c r="A12" s="319" t="s">
        <v>247</v>
      </c>
      <c r="B12" s="320"/>
      <c r="C12" s="291"/>
      <c r="D12" s="291"/>
      <c r="E12" s="291"/>
      <c r="F12" s="289"/>
      <c r="G12" s="294"/>
      <c r="H12" s="294"/>
      <c r="I12" s="294"/>
      <c r="J12" s="294"/>
      <c r="K12" s="294"/>
      <c r="L12" s="294"/>
      <c r="M12" s="293"/>
    </row>
    <row r="13" spans="1:13" ht="16.5">
      <c r="A13" s="319" t="s">
        <v>248</v>
      </c>
      <c r="B13" s="320"/>
      <c r="C13" s="291"/>
      <c r="D13" s="291"/>
      <c r="E13" s="291"/>
      <c r="F13" s="289"/>
      <c r="G13" s="294"/>
      <c r="H13" s="294"/>
      <c r="I13" s="294"/>
      <c r="J13" s="294"/>
      <c r="K13" s="294"/>
      <c r="L13" s="294"/>
      <c r="M13" s="293"/>
    </row>
    <row r="14" spans="1:13" ht="16.5">
      <c r="A14" s="815" t="s">
        <v>249</v>
      </c>
      <c r="B14" s="831"/>
      <c r="C14" s="291"/>
      <c r="D14" s="291"/>
      <c r="E14" s="291"/>
      <c r="F14" s="289"/>
      <c r="G14" s="295">
        <f t="shared" ref="G14:J14" si="2">SUM(G15:G34)</f>
        <v>0</v>
      </c>
      <c r="H14" s="295">
        <f t="shared" si="2"/>
        <v>986498</v>
      </c>
      <c r="I14" s="295">
        <f t="shared" si="2"/>
        <v>0</v>
      </c>
      <c r="J14" s="295">
        <f t="shared" si="2"/>
        <v>0</v>
      </c>
      <c r="K14" s="295">
        <f t="shared" ref="K14" si="3">SUM(K15:K34)</f>
        <v>0</v>
      </c>
      <c r="L14" s="295">
        <f>SUM(L15:L34)</f>
        <v>0</v>
      </c>
      <c r="M14" s="293">
        <f>SUM(G14:L14)</f>
        <v>986498</v>
      </c>
    </row>
    <row r="15" spans="1:13" ht="16.5">
      <c r="A15" s="319" t="s">
        <v>246</v>
      </c>
      <c r="B15" s="320"/>
      <c r="C15" s="296"/>
      <c r="D15" s="296"/>
      <c r="E15" s="296"/>
      <c r="F15" s="289"/>
      <c r="G15" s="297"/>
      <c r="H15" s="297">
        <v>9</v>
      </c>
      <c r="I15" s="297"/>
      <c r="J15" s="297"/>
      <c r="K15" s="297"/>
      <c r="L15" s="297"/>
    </row>
    <row r="16" spans="1:13" ht="16.5">
      <c r="A16" s="319" t="s">
        <v>247</v>
      </c>
      <c r="B16" s="320"/>
      <c r="C16" s="296"/>
      <c r="D16" s="296"/>
      <c r="E16" s="296"/>
      <c r="F16" s="298"/>
      <c r="G16" s="297"/>
      <c r="H16" s="297">
        <v>17840</v>
      </c>
      <c r="I16" s="297"/>
      <c r="J16" s="297"/>
      <c r="K16" s="297"/>
      <c r="L16" s="297"/>
    </row>
    <row r="17" spans="1:13" ht="16.5">
      <c r="A17" s="319" t="s">
        <v>248</v>
      </c>
      <c r="B17" s="320"/>
      <c r="C17" s="296"/>
      <c r="D17" s="296"/>
      <c r="E17" s="296"/>
      <c r="F17" s="289"/>
      <c r="G17" s="297"/>
      <c r="H17" s="297">
        <v>507</v>
      </c>
      <c r="I17" s="297"/>
      <c r="J17" s="297"/>
      <c r="K17" s="297"/>
      <c r="L17" s="297"/>
    </row>
    <row r="18" spans="1:13" ht="16.5">
      <c r="A18" s="319" t="s">
        <v>250</v>
      </c>
      <c r="B18" s="320"/>
      <c r="C18" s="296"/>
      <c r="D18" s="296"/>
      <c r="E18" s="296"/>
      <c r="F18" s="289"/>
      <c r="G18" s="297"/>
      <c r="H18" s="297">
        <v>282749</v>
      </c>
      <c r="I18" s="297"/>
      <c r="J18" s="297"/>
      <c r="K18" s="297"/>
      <c r="L18" s="297"/>
      <c r="M18" s="281"/>
    </row>
    <row r="19" spans="1:13" ht="16.5">
      <c r="A19" s="319" t="s">
        <v>251</v>
      </c>
      <c r="B19" s="320"/>
      <c r="C19" s="296"/>
      <c r="D19" s="296"/>
      <c r="E19" s="296"/>
      <c r="F19" s="289"/>
      <c r="G19" s="297"/>
      <c r="H19" s="297">
        <v>11200</v>
      </c>
      <c r="I19" s="297"/>
      <c r="J19" s="297"/>
      <c r="K19" s="297"/>
      <c r="L19" s="297"/>
      <c r="M19" s="281"/>
    </row>
    <row r="20" spans="1:13" ht="16.5">
      <c r="A20" s="319" t="s">
        <v>252</v>
      </c>
      <c r="B20" s="320"/>
      <c r="C20" s="296"/>
      <c r="D20" s="296"/>
      <c r="E20" s="296"/>
      <c r="F20" s="289"/>
      <c r="G20" s="297"/>
      <c r="H20" s="297">
        <v>9600</v>
      </c>
      <c r="I20" s="297"/>
      <c r="J20" s="297"/>
      <c r="K20" s="297"/>
      <c r="L20" s="297"/>
      <c r="M20" s="281"/>
    </row>
    <row r="21" spans="1:13" ht="16.5">
      <c r="A21" s="319" t="s">
        <v>253</v>
      </c>
      <c r="B21" s="320"/>
      <c r="C21" s="296"/>
      <c r="D21" s="296"/>
      <c r="E21" s="296"/>
      <c r="F21" s="289"/>
      <c r="G21" s="297"/>
      <c r="H21" s="297">
        <v>62800</v>
      </c>
      <c r="I21" s="297"/>
      <c r="J21" s="297"/>
      <c r="K21" s="297"/>
      <c r="L21" s="297"/>
      <c r="M21" s="281"/>
    </row>
    <row r="22" spans="1:13" ht="16.5">
      <c r="A22" s="319" t="s">
        <v>254</v>
      </c>
      <c r="B22" s="320"/>
      <c r="C22" s="296"/>
      <c r="D22" s="296"/>
      <c r="E22" s="296"/>
      <c r="F22" s="289"/>
      <c r="G22" s="297"/>
      <c r="H22" s="297">
        <v>596433</v>
      </c>
      <c r="I22" s="297"/>
      <c r="J22" s="297"/>
      <c r="K22" s="297"/>
      <c r="L22" s="297"/>
      <c r="M22" s="281"/>
    </row>
    <row r="23" spans="1:13" ht="16.5">
      <c r="A23" s="319" t="s">
        <v>255</v>
      </c>
      <c r="B23" s="320"/>
      <c r="C23" s="296"/>
      <c r="D23" s="296"/>
      <c r="E23" s="296"/>
      <c r="F23" s="289"/>
      <c r="G23" s="297"/>
      <c r="H23" s="297">
        <v>4000</v>
      </c>
      <c r="I23" s="297"/>
      <c r="J23" s="297"/>
      <c r="K23" s="297"/>
      <c r="L23" s="297"/>
      <c r="M23" s="281"/>
    </row>
    <row r="24" spans="1:13" ht="16.5">
      <c r="A24" s="319" t="s">
        <v>256</v>
      </c>
      <c r="B24" s="320"/>
      <c r="C24" s="296"/>
      <c r="D24" s="296"/>
      <c r="E24" s="296"/>
      <c r="F24" s="289"/>
      <c r="G24" s="297"/>
      <c r="H24" s="297">
        <v>1360</v>
      </c>
      <c r="I24" s="297"/>
      <c r="J24" s="297"/>
      <c r="K24" s="297"/>
      <c r="L24" s="297"/>
      <c r="M24" s="281"/>
    </row>
    <row r="25" spans="1:13" ht="16.5">
      <c r="A25" s="319" t="s">
        <v>257</v>
      </c>
      <c r="B25" s="320"/>
      <c r="C25" s="296"/>
      <c r="D25" s="296"/>
      <c r="E25" s="296"/>
      <c r="F25" s="289"/>
      <c r="G25" s="297"/>
      <c r="H25" s="297"/>
      <c r="I25" s="297"/>
      <c r="J25" s="297"/>
      <c r="K25" s="297"/>
      <c r="L25" s="297"/>
      <c r="M25" s="281"/>
    </row>
    <row r="26" spans="1:13" ht="16.5">
      <c r="A26" s="319" t="s">
        <v>258</v>
      </c>
      <c r="B26" s="320"/>
      <c r="C26" s="296"/>
      <c r="D26" s="296"/>
      <c r="E26" s="296"/>
      <c r="F26" s="289"/>
      <c r="G26" s="297"/>
      <c r="H26" s="297"/>
      <c r="I26" s="297"/>
      <c r="J26" s="297"/>
      <c r="K26" s="297"/>
      <c r="L26" s="297"/>
      <c r="M26" s="281"/>
    </row>
    <row r="27" spans="1:13" ht="16.5">
      <c r="A27" s="319" t="s">
        <v>259</v>
      </c>
      <c r="B27" s="320"/>
      <c r="C27" s="296"/>
      <c r="D27" s="296"/>
      <c r="E27" s="296"/>
      <c r="F27" s="289"/>
      <c r="G27" s="297"/>
      <c r="H27" s="297"/>
      <c r="I27" s="297"/>
      <c r="J27" s="297"/>
      <c r="K27" s="297"/>
      <c r="L27" s="297"/>
      <c r="M27" s="281"/>
    </row>
    <row r="28" spans="1:13" ht="16.5">
      <c r="A28" s="319" t="s">
        <v>260</v>
      </c>
      <c r="B28" s="320"/>
      <c r="C28" s="296"/>
      <c r="D28" s="296"/>
      <c r="E28" s="296"/>
      <c r="F28" s="289"/>
      <c r="G28" s="297"/>
      <c r="H28" s="297"/>
      <c r="I28" s="297"/>
      <c r="J28" s="297"/>
      <c r="K28" s="297"/>
      <c r="L28" s="297"/>
      <c r="M28" s="281"/>
    </row>
    <row r="29" spans="1:13" ht="16.5">
      <c r="A29" s="319" t="s">
        <v>261</v>
      </c>
      <c r="B29" s="320"/>
      <c r="C29" s="296"/>
      <c r="D29" s="296"/>
      <c r="E29" s="296"/>
      <c r="F29" s="289"/>
      <c r="G29" s="297"/>
      <c r="H29" s="297"/>
      <c r="I29" s="297"/>
      <c r="J29" s="297"/>
      <c r="K29" s="297"/>
      <c r="L29" s="297"/>
      <c r="M29" s="281"/>
    </row>
    <row r="30" spans="1:13" ht="16.5">
      <c r="A30" s="319" t="s">
        <v>262</v>
      </c>
      <c r="B30" s="320"/>
      <c r="C30" s="296"/>
      <c r="D30" s="296"/>
      <c r="E30" s="296"/>
      <c r="F30" s="289"/>
      <c r="G30" s="297"/>
      <c r="H30" s="297"/>
      <c r="I30" s="297"/>
      <c r="J30" s="297"/>
      <c r="K30" s="297"/>
      <c r="L30" s="297"/>
      <c r="M30" s="281"/>
    </row>
    <row r="31" spans="1:13" ht="16.5">
      <c r="A31" s="319" t="s">
        <v>263</v>
      </c>
      <c r="B31" s="320"/>
      <c r="C31" s="296"/>
      <c r="D31" s="296"/>
      <c r="E31" s="296"/>
      <c r="F31" s="289"/>
      <c r="G31" s="297"/>
      <c r="H31" s="297"/>
      <c r="I31" s="297"/>
      <c r="J31" s="297"/>
      <c r="K31" s="297"/>
      <c r="L31" s="297"/>
      <c r="M31" s="281"/>
    </row>
    <row r="32" spans="1:13" ht="16.5">
      <c r="A32" s="319" t="s">
        <v>264</v>
      </c>
      <c r="B32" s="320"/>
      <c r="C32" s="296"/>
      <c r="D32" s="296"/>
      <c r="E32" s="296"/>
      <c r="F32" s="289"/>
      <c r="G32" s="297"/>
      <c r="H32" s="297"/>
      <c r="I32" s="297"/>
      <c r="J32" s="297"/>
      <c r="K32" s="297"/>
      <c r="L32" s="297"/>
      <c r="M32" s="281"/>
    </row>
    <row r="33" spans="1:15" ht="16.5">
      <c r="A33" s="319" t="s">
        <v>265</v>
      </c>
      <c r="B33" s="320"/>
      <c r="C33" s="296"/>
      <c r="D33" s="296"/>
      <c r="E33" s="296"/>
      <c r="F33" s="289"/>
      <c r="G33" s="297"/>
      <c r="H33" s="297"/>
      <c r="I33" s="297"/>
      <c r="J33" s="297"/>
      <c r="K33" s="297"/>
      <c r="L33" s="297"/>
      <c r="M33" s="281"/>
    </row>
    <row r="34" spans="1:15" ht="16.5">
      <c r="A34" s="319" t="s">
        <v>266</v>
      </c>
      <c r="B34" s="320"/>
      <c r="C34" s="296"/>
      <c r="D34" s="296"/>
      <c r="E34" s="296"/>
      <c r="F34" s="289"/>
      <c r="G34" s="297"/>
      <c r="H34" s="297"/>
      <c r="I34" s="297"/>
      <c r="J34" s="297"/>
      <c r="K34" s="297"/>
      <c r="L34" s="297"/>
    </row>
    <row r="35" spans="1:15" ht="16.5">
      <c r="A35" s="815" t="s">
        <v>280</v>
      </c>
      <c r="B35" s="816"/>
      <c r="C35" s="299"/>
      <c r="D35" s="299"/>
      <c r="E35" s="299"/>
      <c r="F35" s="289"/>
      <c r="G35" s="300">
        <f t="shared" ref="G35:J35" si="4">SUM(G36:G38)</f>
        <v>0</v>
      </c>
      <c r="H35" s="300">
        <f t="shared" si="4"/>
        <v>0</v>
      </c>
      <c r="I35" s="300">
        <f t="shared" si="4"/>
        <v>0</v>
      </c>
      <c r="J35" s="300">
        <f t="shared" si="4"/>
        <v>0</v>
      </c>
      <c r="K35" s="300">
        <f t="shared" ref="K35" si="5">SUM(K36:K38)</f>
        <v>0</v>
      </c>
      <c r="L35" s="300">
        <f>SUM(L36:L38)</f>
        <v>0</v>
      </c>
      <c r="M35" s="293">
        <f>SUM(G35:L35)</f>
        <v>0</v>
      </c>
      <c r="N35" s="301"/>
    </row>
    <row r="36" spans="1:15" ht="16.5">
      <c r="A36" s="319" t="s">
        <v>281</v>
      </c>
      <c r="B36" s="320"/>
      <c r="C36" s="302"/>
      <c r="D36" s="302"/>
      <c r="E36" s="302"/>
      <c r="F36" s="303"/>
      <c r="G36" s="297"/>
      <c r="H36" s="297"/>
      <c r="I36" s="297"/>
      <c r="J36" s="297"/>
      <c r="K36" s="297"/>
      <c r="L36" s="297"/>
      <c r="N36" s="304"/>
    </row>
    <row r="37" spans="1:15" ht="16.5">
      <c r="A37" s="319" t="s">
        <v>247</v>
      </c>
      <c r="B37" s="320"/>
      <c r="C37" s="302"/>
      <c r="D37" s="302"/>
      <c r="E37" s="302"/>
      <c r="F37" s="303"/>
      <c r="G37" s="297"/>
      <c r="H37" s="297"/>
      <c r="I37" s="297"/>
      <c r="J37" s="297"/>
      <c r="K37" s="297"/>
      <c r="L37" s="297"/>
      <c r="N37" s="304"/>
    </row>
    <row r="38" spans="1:15" ht="16.5">
      <c r="A38" s="319" t="s">
        <v>248</v>
      </c>
      <c r="B38" s="320"/>
      <c r="C38" s="302"/>
      <c r="D38" s="302"/>
      <c r="E38" s="302"/>
      <c r="F38" s="303"/>
      <c r="G38" s="297"/>
      <c r="H38" s="297"/>
      <c r="I38" s="297"/>
      <c r="J38" s="297"/>
      <c r="K38" s="297"/>
      <c r="L38" s="297"/>
      <c r="N38" s="304"/>
    </row>
    <row r="39" spans="1:15" ht="16.5">
      <c r="A39" s="815" t="s">
        <v>282</v>
      </c>
      <c r="B39" s="816"/>
      <c r="C39" s="299"/>
      <c r="D39" s="299"/>
      <c r="E39" s="299"/>
      <c r="F39" s="289"/>
      <c r="G39" s="300">
        <f t="shared" ref="G39:J39" si="6">SUM(G40:G42)</f>
        <v>0</v>
      </c>
      <c r="H39" s="300">
        <f t="shared" si="6"/>
        <v>0</v>
      </c>
      <c r="I39" s="300">
        <f t="shared" si="6"/>
        <v>0</v>
      </c>
      <c r="J39" s="300">
        <f t="shared" si="6"/>
        <v>0</v>
      </c>
      <c r="K39" s="300">
        <f t="shared" ref="K39" si="7">SUM(K40:K42)</f>
        <v>0</v>
      </c>
      <c r="L39" s="300">
        <f>SUM(L40:L42)</f>
        <v>0</v>
      </c>
      <c r="M39" s="293">
        <f>SUM(G39:L39)</f>
        <v>0</v>
      </c>
      <c r="N39" s="301"/>
    </row>
    <row r="40" spans="1:15" ht="16.5">
      <c r="A40" s="319" t="s">
        <v>281</v>
      </c>
      <c r="B40" s="320"/>
      <c r="C40" s="302"/>
      <c r="D40" s="302"/>
      <c r="E40" s="302"/>
      <c r="F40" s="303"/>
      <c r="G40" s="297"/>
      <c r="H40" s="297"/>
      <c r="I40" s="297"/>
      <c r="J40" s="297"/>
      <c r="K40" s="297"/>
      <c r="L40" s="297"/>
      <c r="N40" s="304"/>
    </row>
    <row r="41" spans="1:15" ht="16.5">
      <c r="A41" s="319" t="s">
        <v>247</v>
      </c>
      <c r="B41" s="320"/>
      <c r="C41" s="302"/>
      <c r="D41" s="302"/>
      <c r="E41" s="302"/>
      <c r="F41" s="303"/>
      <c r="G41" s="297"/>
      <c r="H41" s="297"/>
      <c r="I41" s="297"/>
      <c r="J41" s="297"/>
      <c r="K41" s="297"/>
      <c r="L41" s="297"/>
      <c r="N41" s="304"/>
    </row>
    <row r="42" spans="1:15" ht="16.5">
      <c r="A42" s="319" t="s">
        <v>248</v>
      </c>
      <c r="B42" s="320"/>
      <c r="C42" s="302"/>
      <c r="D42" s="302"/>
      <c r="E42" s="302"/>
      <c r="F42" s="303"/>
      <c r="G42" s="297"/>
      <c r="H42" s="297"/>
      <c r="I42" s="297"/>
      <c r="J42" s="297"/>
      <c r="K42" s="297"/>
      <c r="L42" s="297"/>
      <c r="N42" s="304"/>
    </row>
    <row r="43" spans="1:15" ht="16.5">
      <c r="A43" s="830" t="s">
        <v>283</v>
      </c>
      <c r="B43" s="831"/>
      <c r="C43" s="291"/>
      <c r="D43" s="291"/>
      <c r="E43" s="291"/>
      <c r="F43" s="289"/>
      <c r="G43" s="305">
        <f>G8+G10+G14-G35-G39</f>
        <v>3</v>
      </c>
      <c r="H43" s="305">
        <f t="shared" ref="H43:L43" si="8">H8+H10+H14-H35-H39</f>
        <v>5885714</v>
      </c>
      <c r="I43" s="305">
        <f t="shared" si="8"/>
        <v>806433</v>
      </c>
      <c r="J43" s="305">
        <f t="shared" si="8"/>
        <v>917178</v>
      </c>
      <c r="K43" s="305">
        <f t="shared" ref="K43" si="9">K8+K10+K14-K35-K39</f>
        <v>0</v>
      </c>
      <c r="L43" s="305">
        <f t="shared" si="8"/>
        <v>98</v>
      </c>
      <c r="M43" s="293">
        <f>SUM(G43:L43)</f>
        <v>7609426</v>
      </c>
      <c r="N43" s="306"/>
      <c r="O43" s="307"/>
    </row>
    <row r="44" spans="1:15" ht="16.5">
      <c r="A44" s="550"/>
      <c r="B44" s="551" t="s">
        <v>448</v>
      </c>
      <c r="C44" s="291"/>
      <c r="D44" s="291"/>
      <c r="E44" s="291"/>
      <c r="F44" s="289"/>
      <c r="G44" s="549">
        <f>G9</f>
        <v>0</v>
      </c>
      <c r="H44" s="549">
        <f t="shared" ref="H44:L44" si="10">H9</f>
        <v>0</v>
      </c>
      <c r="I44" s="549">
        <f t="shared" si="10"/>
        <v>0</v>
      </c>
      <c r="J44" s="549">
        <f t="shared" si="10"/>
        <v>1900000</v>
      </c>
      <c r="K44" s="549">
        <f t="shared" ref="K44" si="11">K9</f>
        <v>0</v>
      </c>
      <c r="L44" s="549">
        <f t="shared" si="10"/>
        <v>0</v>
      </c>
      <c r="M44" s="293">
        <f>SUM(G44:L44)</f>
        <v>1900000</v>
      </c>
      <c r="N44" s="306"/>
      <c r="O44" s="307"/>
    </row>
    <row r="45" spans="1:15" ht="21">
      <c r="A45" s="830" t="s">
        <v>284</v>
      </c>
      <c r="B45" s="831"/>
      <c r="C45" s="291"/>
      <c r="D45" s="291"/>
      <c r="E45" s="291"/>
      <c r="F45" s="289"/>
      <c r="G45" s="835">
        <f>SUM(G43:L44)</f>
        <v>9509426</v>
      </c>
      <c r="H45" s="836"/>
      <c r="I45" s="836"/>
      <c r="J45" s="836"/>
      <c r="K45" s="836"/>
      <c r="L45" s="837"/>
      <c r="M45" s="293">
        <f>SUM(G45:L45)</f>
        <v>9509426</v>
      </c>
      <c r="N45" s="306"/>
      <c r="O45" s="307"/>
    </row>
    <row r="46" spans="1:15" ht="16.5">
      <c r="B46" s="308"/>
      <c r="C46" s="284"/>
      <c r="D46" s="284"/>
      <c r="E46" s="284"/>
      <c r="F46" s="284"/>
      <c r="G46" s="285"/>
      <c r="H46" s="285"/>
      <c r="I46" s="285"/>
      <c r="J46" s="285"/>
      <c r="K46" s="285"/>
      <c r="L46" s="285"/>
      <c r="N46" s="309"/>
      <c r="O46" s="310"/>
    </row>
    <row r="47" spans="1:15" ht="16.5">
      <c r="B47" s="308" t="s">
        <v>267</v>
      </c>
      <c r="C47" s="838" t="s">
        <v>268</v>
      </c>
      <c r="D47" s="838"/>
      <c r="E47" s="838"/>
      <c r="F47" s="838"/>
      <c r="G47" s="311"/>
      <c r="H47" s="311" t="s">
        <v>269</v>
      </c>
      <c r="I47" s="311"/>
      <c r="J47" s="311"/>
      <c r="K47" s="311"/>
      <c r="L47" s="285"/>
      <c r="N47" s="312"/>
      <c r="O47" s="310"/>
    </row>
    <row r="48" spans="1:15" s="589" customFormat="1" ht="16.5">
      <c r="B48" s="581"/>
      <c r="C48" s="582"/>
      <c r="D48" s="582"/>
      <c r="E48" s="582"/>
      <c r="F48" s="582" t="s">
        <v>452</v>
      </c>
      <c r="G48" s="583">
        <v>3</v>
      </c>
      <c r="H48" s="583">
        <v>5885714</v>
      </c>
      <c r="I48" s="583">
        <v>806433</v>
      </c>
      <c r="J48" s="583">
        <v>917178</v>
      </c>
      <c r="K48" s="583">
        <v>0</v>
      </c>
      <c r="L48" s="583">
        <v>98</v>
      </c>
      <c r="M48" s="590"/>
      <c r="N48" s="584"/>
      <c r="O48" s="585"/>
    </row>
    <row r="49" spans="3:16" s="589" customFormat="1" ht="16.5">
      <c r="C49" s="591"/>
      <c r="D49" s="591"/>
      <c r="E49" s="591"/>
      <c r="F49" s="591"/>
      <c r="G49" s="586">
        <f>G43-G48</f>
        <v>0</v>
      </c>
      <c r="H49" s="586">
        <f t="shared" ref="H49:L49" si="12">H43-H48</f>
        <v>0</v>
      </c>
      <c r="I49" s="586">
        <f t="shared" si="12"/>
        <v>0</v>
      </c>
      <c r="J49" s="586">
        <f t="shared" si="12"/>
        <v>0</v>
      </c>
      <c r="K49" s="586">
        <f t="shared" ref="K49" si="13">K43-K48</f>
        <v>0</v>
      </c>
      <c r="L49" s="586">
        <f t="shared" si="12"/>
        <v>0</v>
      </c>
      <c r="M49" s="590"/>
      <c r="N49" s="587"/>
      <c r="O49" s="588"/>
      <c r="P49" s="588"/>
    </row>
    <row r="50" spans="3:16" ht="16.5">
      <c r="N50" s="314"/>
      <c r="O50" s="314"/>
      <c r="P50" s="314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1" bestFit="1" customWidth="1"/>
    <col min="14" max="14" width="9.7109375" style="231" bestFit="1" customWidth="1"/>
    <col min="15" max="15" width="13.28515625" style="232" bestFit="1" customWidth="1"/>
    <col min="16" max="16" width="12.5703125" style="244" customWidth="1"/>
    <col min="17" max="17" width="12.28515625" style="332" bestFit="1" customWidth="1"/>
    <col min="18" max="18" width="12" style="332" customWidth="1"/>
    <col min="19" max="16384" width="6.85546875" style="3"/>
  </cols>
  <sheetData>
    <row r="1" spans="1:16" ht="19.5">
      <c r="A1" s="708" t="str">
        <f>封面!$A$4</f>
        <v>彰化縣地方教育發展基金－彰化縣秀水鄉馬興國民小學</v>
      </c>
      <c r="B1" s="708"/>
      <c r="C1" s="708"/>
      <c r="D1" s="708"/>
      <c r="E1" s="708"/>
      <c r="F1" s="708"/>
      <c r="G1" s="708"/>
      <c r="H1" s="708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24" t="s">
        <v>38</v>
      </c>
      <c r="B4" s="724"/>
      <c r="C4" s="724"/>
      <c r="D4" s="724"/>
      <c r="E4" s="724"/>
      <c r="F4" s="724"/>
      <c r="G4" s="724"/>
      <c r="H4" s="724"/>
    </row>
    <row r="5" spans="1:16" ht="6.75" customHeight="1"/>
    <row r="6" spans="1:16" ht="16.5">
      <c r="A6" s="709" t="str">
        <f>封面!$E$10&amp;封面!$H$10&amp;封面!$I$10&amp;封面!$J$10&amp;封面!$K$10&amp;封面!L10</f>
        <v>中華民國112年7月份</v>
      </c>
      <c r="B6" s="709"/>
      <c r="C6" s="709"/>
      <c r="D6" s="709"/>
      <c r="E6" s="709"/>
      <c r="F6" s="709"/>
      <c r="G6" s="709"/>
      <c r="H6" s="709"/>
    </row>
    <row r="7" spans="1:16" ht="14.25" customHeight="1">
      <c r="A7" s="652" t="s">
        <v>39</v>
      </c>
      <c r="B7" s="652"/>
      <c r="C7" s="652"/>
      <c r="D7" s="652"/>
      <c r="E7" s="652"/>
      <c r="F7" s="652"/>
      <c r="G7" s="652"/>
      <c r="H7" s="652"/>
      <c r="K7" s="144">
        <f t="shared" ref="K7:P7" si="0">K15-K34</f>
        <v>-761342</v>
      </c>
      <c r="L7" s="144">
        <f t="shared" si="0"/>
        <v>-1015711</v>
      </c>
      <c r="M7" s="144">
        <f t="shared" si="0"/>
        <v>159415</v>
      </c>
      <c r="N7" s="144">
        <f t="shared" si="0"/>
        <v>0</v>
      </c>
      <c r="O7" s="144">
        <f t="shared" si="0"/>
        <v>35854059</v>
      </c>
      <c r="P7" s="144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3" t="s">
        <v>40</v>
      </c>
      <c r="I9" s="143"/>
    </row>
    <row r="10" spans="1:16" ht="14.25" customHeight="1">
      <c r="A10" s="839" t="s">
        <v>41</v>
      </c>
      <c r="B10" s="841"/>
      <c r="C10" s="849" t="s">
        <v>51</v>
      </c>
      <c r="D10" s="841" t="s">
        <v>52</v>
      </c>
      <c r="E10" s="849" t="s">
        <v>53</v>
      </c>
      <c r="F10" s="849" t="s">
        <v>54</v>
      </c>
      <c r="G10" s="839" t="s">
        <v>42</v>
      </c>
      <c r="H10" s="844"/>
      <c r="I10" s="143"/>
      <c r="K10" s="200" t="s">
        <v>190</v>
      </c>
      <c r="L10" s="200" t="s">
        <v>191</v>
      </c>
      <c r="M10" s="846" t="s">
        <v>206</v>
      </c>
      <c r="N10" s="851" t="s">
        <v>218</v>
      </c>
      <c r="O10" s="848" t="s">
        <v>216</v>
      </c>
    </row>
    <row r="11" spans="1:16" ht="14.25">
      <c r="A11" s="840"/>
      <c r="B11" s="842"/>
      <c r="C11" s="850"/>
      <c r="D11" s="842"/>
      <c r="E11" s="850"/>
      <c r="F11" s="850"/>
      <c r="G11" s="840"/>
      <c r="H11" s="845"/>
      <c r="I11" s="143"/>
      <c r="M11" s="847"/>
      <c r="N11" s="852"/>
      <c r="O11" s="847"/>
      <c r="P11" s="245" t="s">
        <v>217</v>
      </c>
    </row>
    <row r="12" spans="1:16" ht="12.75" hidden="1" customHeight="1">
      <c r="H12" s="119"/>
      <c r="I12" s="143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0"/>
      <c r="D15" s="220"/>
      <c r="E15" s="220"/>
      <c r="F15" s="220"/>
      <c r="G15" s="266"/>
      <c r="H15" s="220"/>
      <c r="I15" s="14"/>
      <c r="J15" s="144">
        <f>D15-E15-H15</f>
        <v>0</v>
      </c>
      <c r="K15" s="247">
        <f>D15-[5]固定項目!D15</f>
        <v>-761342</v>
      </c>
      <c r="L15" s="247">
        <f>E15-[5]固定項目!E15</f>
        <v>-1015711</v>
      </c>
      <c r="M15" s="247">
        <f>SUM(M18:M36)</f>
        <v>159415</v>
      </c>
      <c r="N15" s="247">
        <f>SUM(N18:N36)</f>
        <v>0</v>
      </c>
      <c r="O15" s="247">
        <f>SUM(O18:O36)</f>
        <v>35854059</v>
      </c>
      <c r="P15" s="250">
        <f>SUM(P18:P36)</f>
        <v>-35854059</v>
      </c>
    </row>
    <row r="16" spans="1:16" ht="21" hidden="1" customHeight="1">
      <c r="A16" s="18"/>
      <c r="B16" s="18"/>
      <c r="C16" s="221"/>
      <c r="D16" s="221"/>
      <c r="E16" s="221"/>
      <c r="F16" s="221"/>
      <c r="G16" s="266"/>
      <c r="H16" s="221"/>
      <c r="I16" s="14"/>
      <c r="J16" s="144">
        <f t="shared" ref="J16:J36" si="1">D16-E16-H16</f>
        <v>0</v>
      </c>
      <c r="K16" s="248">
        <f>D16-[5]固定項目!D16</f>
        <v>0</v>
      </c>
      <c r="L16" s="248">
        <f>E16-[5]固定項目!E16</f>
        <v>0</v>
      </c>
      <c r="P16" s="250"/>
    </row>
    <row r="17" spans="1:18" ht="21" hidden="1" customHeight="1">
      <c r="A17" s="18"/>
      <c r="B17" s="18"/>
      <c r="C17" s="221"/>
      <c r="D17" s="221"/>
      <c r="E17" s="221"/>
      <c r="F17" s="221"/>
      <c r="G17" s="266"/>
      <c r="H17" s="221"/>
      <c r="I17" s="14"/>
      <c r="J17" s="144">
        <f t="shared" si="1"/>
        <v>0</v>
      </c>
      <c r="K17" s="248">
        <f>D17-[5]固定項目!D17</f>
        <v>0</v>
      </c>
      <c r="L17" s="248">
        <f>E17-[5]固定項目!E17</f>
        <v>0</v>
      </c>
      <c r="P17" s="250"/>
    </row>
    <row r="18" spans="1:18" ht="26.25" customHeight="1">
      <c r="A18" s="19"/>
      <c r="B18" s="93" t="s">
        <v>169</v>
      </c>
      <c r="C18" s="221"/>
      <c r="D18" s="221"/>
      <c r="E18" s="221"/>
      <c r="F18" s="221"/>
      <c r="G18" s="266"/>
      <c r="H18" s="221"/>
      <c r="I18" s="14"/>
      <c r="J18" s="144">
        <f t="shared" si="1"/>
        <v>0</v>
      </c>
      <c r="K18" s="248">
        <f>D18-[6]固定項目!D18</f>
        <v>0</v>
      </c>
      <c r="L18" s="248">
        <f>E18-[6]固定項目!E18</f>
        <v>0</v>
      </c>
      <c r="O18" s="249">
        <f>M18-N18+[6]固定項目!O18</f>
        <v>0</v>
      </c>
      <c r="P18" s="250"/>
    </row>
    <row r="19" spans="1:18" ht="21" hidden="1" customHeight="1">
      <c r="A19" s="18"/>
      <c r="B19" s="18"/>
      <c r="C19" s="221"/>
      <c r="D19" s="221"/>
      <c r="E19" s="221"/>
      <c r="F19" s="221"/>
      <c r="G19" s="266"/>
      <c r="H19" s="221"/>
      <c r="I19" s="14"/>
      <c r="J19" s="144">
        <f t="shared" si="1"/>
        <v>0</v>
      </c>
      <c r="K19" s="248">
        <f>D19-[6]固定項目!D20</f>
        <v>0</v>
      </c>
      <c r="L19" s="248">
        <f>E19-[6]固定項目!E20</f>
        <v>0</v>
      </c>
      <c r="O19" s="249">
        <f>M19-N19+[6]固定項目!O20</f>
        <v>0</v>
      </c>
      <c r="P19" s="250"/>
    </row>
    <row r="20" spans="1:18" ht="21" customHeight="1">
      <c r="A20" s="20"/>
      <c r="B20" s="94" t="s">
        <v>44</v>
      </c>
      <c r="C20" s="220"/>
      <c r="D20" s="220"/>
      <c r="E20" s="220"/>
      <c r="F20" s="220"/>
      <c r="G20" s="266"/>
      <c r="H20" s="220"/>
      <c r="I20" s="14"/>
      <c r="J20" s="144">
        <f t="shared" si="1"/>
        <v>0</v>
      </c>
      <c r="K20" s="248">
        <f>D20-[6]固定項目!D21</f>
        <v>0</v>
      </c>
      <c r="L20" s="248">
        <f>E20-[6]固定項目!E21</f>
        <v>0</v>
      </c>
      <c r="O20" s="249">
        <f>M20-N20+[6]固定項目!O21</f>
        <v>0</v>
      </c>
      <c r="P20" s="250">
        <f>C20+D20-E20-O20</f>
        <v>0</v>
      </c>
      <c r="Q20" s="332">
        <v>9760300</v>
      </c>
      <c r="R20" s="333">
        <f>P20-Q20</f>
        <v>-9760300</v>
      </c>
    </row>
    <row r="21" spans="1:18" ht="21" hidden="1" customHeight="1">
      <c r="A21" s="18"/>
      <c r="B21" s="18"/>
      <c r="C21" s="221"/>
      <c r="D21" s="221"/>
      <c r="E21" s="221"/>
      <c r="F21" s="221"/>
      <c r="G21" s="266"/>
      <c r="H21" s="221"/>
      <c r="I21" s="14"/>
      <c r="J21" s="144">
        <f t="shared" si="1"/>
        <v>0</v>
      </c>
      <c r="K21" s="248">
        <f>D21-[6]固定項目!D23</f>
        <v>0</v>
      </c>
      <c r="L21" s="248">
        <f>E21-[6]固定項目!E23</f>
        <v>0</v>
      </c>
      <c r="O21" s="249">
        <f>M21-N21+[6]固定項目!O23</f>
        <v>0</v>
      </c>
      <c r="P21" s="250">
        <f t="shared" ref="P21:P42" si="2">C21+D21-E21-O21</f>
        <v>0</v>
      </c>
      <c r="R21" s="333">
        <f t="shared" ref="R21:R30" si="3">P21-Q21</f>
        <v>0</v>
      </c>
    </row>
    <row r="22" spans="1:18" ht="21" customHeight="1">
      <c r="A22" s="20"/>
      <c r="B22" s="94" t="s">
        <v>45</v>
      </c>
      <c r="C22" s="220"/>
      <c r="D22" s="221"/>
      <c r="E22" s="221"/>
      <c r="F22" s="220"/>
      <c r="G22" s="266"/>
      <c r="H22" s="221"/>
      <c r="I22" s="14"/>
      <c r="J22" s="144">
        <f t="shared" si="1"/>
        <v>0</v>
      </c>
      <c r="K22" s="248">
        <f>D22-[6]固定項目!D24</f>
        <v>-65606</v>
      </c>
      <c r="L22" s="248">
        <f>E22-[6]固定項目!E24</f>
        <v>0</v>
      </c>
      <c r="M22" s="231">
        <v>32803</v>
      </c>
      <c r="O22" s="249">
        <f>M22-N22+[6]固定項目!O24</f>
        <v>2027157</v>
      </c>
      <c r="P22" s="250">
        <f t="shared" si="2"/>
        <v>-2027157</v>
      </c>
      <c r="Q22" s="332">
        <v>3532484</v>
      </c>
      <c r="R22" s="333">
        <f t="shared" si="3"/>
        <v>-5559641</v>
      </c>
    </row>
    <row r="23" spans="1:18" ht="21" hidden="1" customHeight="1">
      <c r="A23" s="18"/>
      <c r="B23" s="18"/>
      <c r="C23" s="221"/>
      <c r="D23" s="221"/>
      <c r="E23" s="221"/>
      <c r="F23" s="221"/>
      <c r="G23" s="266"/>
      <c r="H23" s="221"/>
      <c r="I23" s="14"/>
      <c r="J23" s="144">
        <f t="shared" si="1"/>
        <v>0</v>
      </c>
      <c r="K23" s="248">
        <f>D23-[6]固定項目!D26</f>
        <v>0</v>
      </c>
      <c r="L23" s="248">
        <f>E23-[6]固定項目!E26</f>
        <v>0</v>
      </c>
      <c r="O23" s="249">
        <f>M23-N23+[6]固定項目!O26</f>
        <v>0</v>
      </c>
      <c r="P23" s="250">
        <f t="shared" si="2"/>
        <v>0</v>
      </c>
      <c r="R23" s="333">
        <f t="shared" si="3"/>
        <v>0</v>
      </c>
    </row>
    <row r="24" spans="1:18" ht="21" customHeight="1">
      <c r="A24" s="20"/>
      <c r="B24" s="94" t="s">
        <v>46</v>
      </c>
      <c r="C24" s="220"/>
      <c r="D24" s="221"/>
      <c r="E24" s="220"/>
      <c r="F24" s="220"/>
      <c r="G24" s="266"/>
      <c r="H24" s="220"/>
      <c r="I24" s="14"/>
      <c r="J24" s="144">
        <f t="shared" si="1"/>
        <v>0</v>
      </c>
      <c r="K24" s="248">
        <f>D24-[6]固定項目!D27</f>
        <v>0</v>
      </c>
      <c r="L24" s="248">
        <f>E24-[6]固定項目!E27</f>
        <v>-462500</v>
      </c>
      <c r="M24" s="231">
        <v>83429</v>
      </c>
      <c r="O24" s="249">
        <f>M24-N24+[6]固定項目!O27</f>
        <v>24356499</v>
      </c>
      <c r="P24" s="250">
        <f t="shared" si="2"/>
        <v>-24356499</v>
      </c>
      <c r="Q24" s="332">
        <v>20166512</v>
      </c>
      <c r="R24" s="333">
        <f t="shared" si="3"/>
        <v>-44523011</v>
      </c>
    </row>
    <row r="25" spans="1:18" ht="21" hidden="1" customHeight="1">
      <c r="A25" s="18"/>
      <c r="B25" s="18"/>
      <c r="C25" s="221"/>
      <c r="D25" s="221"/>
      <c r="E25" s="221"/>
      <c r="F25" s="221"/>
      <c r="G25" s="266"/>
      <c r="H25" s="221"/>
      <c r="I25" s="14"/>
      <c r="J25" s="144">
        <f t="shared" si="1"/>
        <v>0</v>
      </c>
      <c r="K25" s="248">
        <f>D25-[6]固定項目!D29</f>
        <v>0</v>
      </c>
      <c r="L25" s="248">
        <f>E25-[6]固定項目!E29</f>
        <v>0</v>
      </c>
      <c r="O25" s="249">
        <f>M25-N25+[6]固定項目!O29</f>
        <v>0</v>
      </c>
      <c r="P25" s="250">
        <f t="shared" si="2"/>
        <v>0</v>
      </c>
      <c r="R25" s="333">
        <f t="shared" si="3"/>
        <v>0</v>
      </c>
    </row>
    <row r="26" spans="1:18" ht="21" customHeight="1">
      <c r="A26" s="20"/>
      <c r="B26" s="94" t="s">
        <v>47</v>
      </c>
      <c r="C26" s="220"/>
      <c r="D26" s="220"/>
      <c r="E26" s="220"/>
      <c r="F26" s="220"/>
      <c r="G26" s="266"/>
      <c r="H26" s="220"/>
      <c r="I26" s="14"/>
      <c r="J26" s="144">
        <f t="shared" si="1"/>
        <v>0</v>
      </c>
      <c r="K26" s="248">
        <f>D26-[6]固定項目!D30</f>
        <v>-112736</v>
      </c>
      <c r="L26" s="248">
        <f>E26-[6]固定項目!E30</f>
        <v>-343611</v>
      </c>
      <c r="M26" s="231">
        <v>24242</v>
      </c>
      <c r="O26" s="249">
        <f>M26-N26+[6]固定項目!O30</f>
        <v>4960805</v>
      </c>
      <c r="P26" s="250">
        <f t="shared" si="2"/>
        <v>-4960805</v>
      </c>
      <c r="Q26" s="332">
        <v>1123223</v>
      </c>
      <c r="R26" s="333">
        <f t="shared" si="3"/>
        <v>-6084028</v>
      </c>
    </row>
    <row r="27" spans="1:18" ht="21" hidden="1" customHeight="1">
      <c r="A27" s="18"/>
      <c r="B27" s="18"/>
      <c r="C27" s="221"/>
      <c r="D27" s="221"/>
      <c r="E27" s="221"/>
      <c r="F27" s="221"/>
      <c r="G27" s="266"/>
      <c r="H27" s="221"/>
      <c r="I27" s="14"/>
      <c r="J27" s="144">
        <f t="shared" si="1"/>
        <v>0</v>
      </c>
      <c r="K27" s="248">
        <f>D27-[6]固定項目!D32</f>
        <v>0</v>
      </c>
      <c r="L27" s="248">
        <f>E27-[6]固定項目!E32</f>
        <v>0</v>
      </c>
      <c r="O27" s="249">
        <f>M27-N27+[6]固定項目!O32</f>
        <v>0</v>
      </c>
      <c r="P27" s="250">
        <f t="shared" si="2"/>
        <v>0</v>
      </c>
      <c r="R27" s="333">
        <f t="shared" si="3"/>
        <v>0</v>
      </c>
    </row>
    <row r="28" spans="1:18" ht="21" customHeight="1">
      <c r="A28" s="20"/>
      <c r="B28" s="94" t="s">
        <v>48</v>
      </c>
      <c r="C28" s="220"/>
      <c r="D28" s="221"/>
      <c r="E28" s="220"/>
      <c r="F28" s="220"/>
      <c r="G28" s="266"/>
      <c r="H28" s="220"/>
      <c r="I28" s="14"/>
      <c r="J28" s="144">
        <f t="shared" si="1"/>
        <v>0</v>
      </c>
      <c r="K28" s="248">
        <f>D28-[6]固定項目!D33</f>
        <v>0</v>
      </c>
      <c r="L28" s="248">
        <f>E28-[6]固定項目!E33</f>
        <v>-98000</v>
      </c>
      <c r="M28" s="231">
        <v>5018</v>
      </c>
      <c r="O28" s="249">
        <f>M28-N28+[6]固定項目!O33</f>
        <v>707188</v>
      </c>
      <c r="P28" s="250">
        <f t="shared" si="2"/>
        <v>-707188</v>
      </c>
      <c r="Q28" s="332">
        <v>148230</v>
      </c>
      <c r="R28" s="333">
        <f t="shared" si="3"/>
        <v>-855418</v>
      </c>
    </row>
    <row r="29" spans="1:18" ht="21" hidden="1" customHeight="1">
      <c r="A29" s="18"/>
      <c r="B29" s="18"/>
      <c r="C29" s="221"/>
      <c r="D29" s="221"/>
      <c r="E29" s="221"/>
      <c r="F29" s="221"/>
      <c r="G29" s="266"/>
      <c r="H29" s="221"/>
      <c r="I29" s="14"/>
      <c r="J29" s="144">
        <f t="shared" si="1"/>
        <v>0</v>
      </c>
      <c r="K29" s="248">
        <f>D29-[6]固定項目!D35</f>
        <v>0</v>
      </c>
      <c r="L29" s="248">
        <f>E29-[6]固定項目!E35</f>
        <v>0</v>
      </c>
      <c r="O29" s="249">
        <f>M29-N29+[6]固定項目!O35</f>
        <v>0</v>
      </c>
      <c r="P29" s="250">
        <f t="shared" si="2"/>
        <v>0</v>
      </c>
      <c r="R29" s="333">
        <f t="shared" si="3"/>
        <v>0</v>
      </c>
    </row>
    <row r="30" spans="1:18" ht="21" customHeight="1">
      <c r="A30" s="20"/>
      <c r="B30" s="94" t="s">
        <v>200</v>
      </c>
      <c r="C30" s="220"/>
      <c r="D30" s="220"/>
      <c r="E30" s="220"/>
      <c r="F30" s="220"/>
      <c r="G30" s="266"/>
      <c r="H30" s="220"/>
      <c r="I30" s="14"/>
      <c r="J30" s="144">
        <f t="shared" si="1"/>
        <v>0</v>
      </c>
      <c r="K30" s="248">
        <f>D30-[6]固定項目!D36</f>
        <v>-596000</v>
      </c>
      <c r="L30" s="248">
        <f>E30-[6]固定項目!E36</f>
        <v>-111600</v>
      </c>
      <c r="M30" s="231">
        <v>13923</v>
      </c>
      <c r="O30" s="249">
        <f>M30-N30+[6]固定項目!O36</f>
        <v>3802410</v>
      </c>
      <c r="P30" s="250">
        <f t="shared" si="2"/>
        <v>-3802410</v>
      </c>
      <c r="Q30" s="332">
        <v>667523</v>
      </c>
      <c r="R30" s="333">
        <f t="shared" si="3"/>
        <v>-4469933</v>
      </c>
    </row>
    <row r="31" spans="1:18" ht="21" hidden="1" customHeight="1">
      <c r="A31" s="18"/>
      <c r="B31" s="18"/>
      <c r="C31" s="221"/>
      <c r="D31" s="221"/>
      <c r="E31" s="221"/>
      <c r="F31" s="221"/>
      <c r="G31" s="266"/>
      <c r="H31" s="221"/>
      <c r="I31" s="14"/>
      <c r="J31" s="144">
        <f t="shared" si="1"/>
        <v>0</v>
      </c>
      <c r="K31" s="248">
        <f>D31-[6]固定項目!D38</f>
        <v>0</v>
      </c>
      <c r="L31" s="248">
        <f>E31-[6]固定項目!E38</f>
        <v>0</v>
      </c>
      <c r="O31" s="249">
        <f>M31-N31+[6]固定項目!O38</f>
        <v>0</v>
      </c>
      <c r="P31" s="244">
        <f t="shared" si="2"/>
        <v>0</v>
      </c>
    </row>
    <row r="32" spans="1:18" ht="21" customHeight="1">
      <c r="A32" s="20"/>
      <c r="B32" s="94" t="s">
        <v>49</v>
      </c>
      <c r="C32" s="221"/>
      <c r="D32" s="221"/>
      <c r="E32" s="221"/>
      <c r="F32" s="221"/>
      <c r="G32" s="266"/>
      <c r="H32" s="221"/>
      <c r="I32" s="14"/>
      <c r="J32" s="144">
        <f t="shared" si="1"/>
        <v>0</v>
      </c>
      <c r="K32" s="248">
        <f>D32-[6]固定項目!D39</f>
        <v>0</v>
      </c>
      <c r="L32" s="248">
        <f>E32-[6]固定項目!E39</f>
        <v>0</v>
      </c>
      <c r="O32" s="249">
        <f>M32-N32+[6]固定項目!O39</f>
        <v>0</v>
      </c>
      <c r="P32" s="244">
        <f t="shared" si="2"/>
        <v>0</v>
      </c>
    </row>
    <row r="33" spans="1:16" ht="21" hidden="1" customHeight="1">
      <c r="A33" s="18"/>
      <c r="B33" s="18"/>
      <c r="C33" s="221"/>
      <c r="D33" s="221"/>
      <c r="E33" s="221"/>
      <c r="F33" s="221"/>
      <c r="G33" s="266"/>
      <c r="H33" s="221"/>
      <c r="I33" s="14"/>
      <c r="J33" s="144">
        <f t="shared" si="1"/>
        <v>0</v>
      </c>
      <c r="K33" s="248">
        <f>D33-[6]固定項目!D41</f>
        <v>0</v>
      </c>
      <c r="L33" s="248">
        <f>E33-[6]固定項目!E41</f>
        <v>0</v>
      </c>
      <c r="O33" s="249">
        <f>M33-N33+[6]固定項目!O41</f>
        <v>0</v>
      </c>
      <c r="P33" s="244">
        <f t="shared" si="2"/>
        <v>0</v>
      </c>
    </row>
    <row r="34" spans="1:16" ht="21" customHeight="1">
      <c r="A34" s="20"/>
      <c r="B34" s="94" t="s">
        <v>201</v>
      </c>
      <c r="C34" s="220"/>
      <c r="D34" s="221"/>
      <c r="E34" s="221"/>
      <c r="F34" s="220"/>
      <c r="G34" s="266"/>
      <c r="H34" s="221"/>
      <c r="I34" s="14"/>
      <c r="J34" s="144">
        <f t="shared" si="1"/>
        <v>0</v>
      </c>
      <c r="K34" s="248">
        <f>D34-[6]固定項目!D42</f>
        <v>0</v>
      </c>
      <c r="L34" s="248">
        <f>E34-[6]固定項目!E42</f>
        <v>0</v>
      </c>
      <c r="M34" s="246"/>
      <c r="N34" s="246">
        <f>E34</f>
        <v>0</v>
      </c>
      <c r="O34" s="249">
        <f>M34-N34+[6]固定項目!O42</f>
        <v>0</v>
      </c>
      <c r="P34" s="244">
        <f t="shared" si="2"/>
        <v>0</v>
      </c>
    </row>
    <row r="35" spans="1:16" ht="21" hidden="1" customHeight="1">
      <c r="A35" s="18"/>
      <c r="B35" s="18"/>
      <c r="C35" s="221"/>
      <c r="D35" s="221"/>
      <c r="E35" s="221"/>
      <c r="F35" s="221"/>
      <c r="G35" s="266"/>
      <c r="H35" s="221"/>
      <c r="I35" s="14"/>
      <c r="J35" s="144">
        <f t="shared" si="1"/>
        <v>0</v>
      </c>
      <c r="K35" s="248">
        <f>D35-[6]固定項目!D44</f>
        <v>0</v>
      </c>
      <c r="L35" s="248">
        <f>E35-[6]固定項目!E44</f>
        <v>0</v>
      </c>
      <c r="O35" s="249">
        <f>M35-N35+[6]固定項目!O44</f>
        <v>0</v>
      </c>
      <c r="P35" s="244">
        <f t="shared" si="2"/>
        <v>0</v>
      </c>
    </row>
    <row r="36" spans="1:16" ht="21" customHeight="1">
      <c r="A36" s="20"/>
      <c r="B36" s="94" t="s">
        <v>50</v>
      </c>
      <c r="C36" s="221"/>
      <c r="D36" s="221"/>
      <c r="E36" s="221"/>
      <c r="F36" s="221"/>
      <c r="G36" s="267"/>
      <c r="H36" s="221"/>
      <c r="I36" s="14"/>
      <c r="J36" s="144">
        <f t="shared" si="1"/>
        <v>0</v>
      </c>
      <c r="K36" s="248">
        <f>D36-[6]固定項目!D45</f>
        <v>0</v>
      </c>
      <c r="L36" s="248">
        <f>E36-[6]固定項目!E45</f>
        <v>0</v>
      </c>
      <c r="O36" s="249">
        <f>M36-N36+[6]固定項目!O45</f>
        <v>0</v>
      </c>
      <c r="P36" s="244">
        <f t="shared" si="2"/>
        <v>0</v>
      </c>
    </row>
    <row r="37" spans="1:16" ht="21" hidden="1" customHeight="1">
      <c r="A37" s="226"/>
      <c r="B37" s="227"/>
      <c r="C37" s="14"/>
      <c r="D37" s="14"/>
      <c r="E37" s="14"/>
      <c r="F37" s="14"/>
      <c r="G37" s="268"/>
      <c r="H37" s="14"/>
      <c r="O37" s="249">
        <f>M37-N37+[6]固定項目!O47</f>
        <v>0</v>
      </c>
      <c r="P37" s="244">
        <f t="shared" si="2"/>
        <v>0</v>
      </c>
    </row>
    <row r="38" spans="1:16" ht="21" customHeight="1">
      <c r="A38" s="226"/>
      <c r="B38" s="228" t="s">
        <v>202</v>
      </c>
      <c r="C38" s="14"/>
      <c r="D38" s="14"/>
      <c r="E38" s="14"/>
      <c r="F38" s="14"/>
      <c r="G38" s="268"/>
      <c r="H38" s="14"/>
      <c r="O38" s="249">
        <f>M38-N38+[6]固定項目!O48</f>
        <v>0</v>
      </c>
      <c r="P38" s="244">
        <f t="shared" si="2"/>
        <v>0</v>
      </c>
    </row>
    <row r="39" spans="1:16" ht="21" hidden="1" customHeight="1">
      <c r="A39" s="226"/>
      <c r="B39" s="227"/>
      <c r="C39" s="14"/>
      <c r="D39" s="14"/>
      <c r="E39" s="14"/>
      <c r="F39" s="14"/>
      <c r="G39" s="268"/>
      <c r="H39" s="14"/>
      <c r="O39" s="249">
        <f>M39-N39+[6]固定項目!O50</f>
        <v>0</v>
      </c>
      <c r="P39" s="244">
        <f t="shared" si="2"/>
        <v>0</v>
      </c>
    </row>
    <row r="40" spans="1:16" ht="21" customHeight="1">
      <c r="A40" s="226"/>
      <c r="B40" s="228" t="s">
        <v>203</v>
      </c>
      <c r="C40" s="14"/>
      <c r="D40" s="14"/>
      <c r="E40" s="14"/>
      <c r="F40" s="14"/>
      <c r="G40" s="268"/>
      <c r="H40" s="14"/>
      <c r="O40" s="249">
        <f>M40-N40+[6]固定項目!O51</f>
        <v>0</v>
      </c>
      <c r="P40" s="244">
        <f t="shared" si="2"/>
        <v>0</v>
      </c>
    </row>
    <row r="41" spans="1:16" ht="21" hidden="1" customHeight="1">
      <c r="A41" s="226"/>
      <c r="B41" s="227"/>
      <c r="C41" s="14"/>
      <c r="D41" s="14"/>
      <c r="E41" s="14"/>
      <c r="F41" s="14"/>
      <c r="G41" s="268"/>
      <c r="H41" s="14"/>
      <c r="O41" s="249">
        <f>M41-N41+[6]固定項目!O53</f>
        <v>0</v>
      </c>
      <c r="P41" s="244">
        <f t="shared" si="2"/>
        <v>0</v>
      </c>
    </row>
    <row r="42" spans="1:16" ht="21" customHeight="1">
      <c r="A42" s="226"/>
      <c r="B42" s="229" t="s">
        <v>204</v>
      </c>
      <c r="C42" s="14"/>
      <c r="D42" s="14"/>
      <c r="E42" s="14"/>
      <c r="F42" s="14"/>
      <c r="G42" s="268"/>
      <c r="H42" s="14"/>
      <c r="O42" s="249">
        <f>M42-N42+[6]固定項目!O54</f>
        <v>0</v>
      </c>
      <c r="P42" s="244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9.5703125" customWidth="1"/>
  </cols>
  <sheetData>
    <row r="1" spans="1:8">
      <c r="A1" s="619" t="s">
        <v>144</v>
      </c>
      <c r="B1" s="619"/>
    </row>
    <row r="2" spans="1:8">
      <c r="A2" s="620" t="s">
        <v>145</v>
      </c>
      <c r="B2" s="619"/>
    </row>
    <row r="3" spans="1:8">
      <c r="A3" s="619" t="s">
        <v>146</v>
      </c>
      <c r="B3" s="619"/>
    </row>
    <row r="4" spans="1:8" ht="28.5">
      <c r="A4" s="619" t="s">
        <v>147</v>
      </c>
      <c r="B4" s="619"/>
      <c r="C4" s="177" t="s">
        <v>179</v>
      </c>
      <c r="D4" s="189" t="s">
        <v>180</v>
      </c>
      <c r="E4" s="157" t="s">
        <v>182</v>
      </c>
      <c r="F4" s="189" t="s">
        <v>181</v>
      </c>
    </row>
    <row r="5" spans="1:8">
      <c r="A5" s="620" t="s">
        <v>148</v>
      </c>
      <c r="B5" s="619"/>
      <c r="C5" s="178" t="e">
        <f>VLOOKUP("應付費用",平衡!$N$13:$U$64,4,0)</f>
        <v>#N/A</v>
      </c>
      <c r="D5" s="179">
        <f>縣庫對帳!P6</f>
        <v>141920</v>
      </c>
      <c r="E5" s="179">
        <v>40000</v>
      </c>
      <c r="F5" s="179">
        <f>庫款差額!C8+庫款差額!C15-庫款差額!C18-庫款差額!C21</f>
        <v>5723000</v>
      </c>
    </row>
    <row r="6" spans="1:8" ht="15" thickBot="1">
      <c r="A6" s="617" t="s">
        <v>149</v>
      </c>
      <c r="B6" s="618"/>
      <c r="C6" s="176" t="s">
        <v>163</v>
      </c>
      <c r="D6" s="191">
        <f>VLOOKUP("銀行存款-縣庫存款",平衡!$E$13:$H$41,4,0)+VLOOKUP("零用及週轉金",平衡!$D$13:$H$41,5,0)</f>
        <v>3008994</v>
      </c>
      <c r="E6" s="191" t="e">
        <f>VLOOKUP("基金餘額",平衡!$K$13:$U$64,7,0)+C5</f>
        <v>#N/A</v>
      </c>
      <c r="F6" s="162" t="s">
        <v>162</v>
      </c>
    </row>
    <row r="7" spans="1:8" ht="15" thickBot="1">
      <c r="A7" s="617" t="s">
        <v>150</v>
      </c>
      <c r="B7" s="618"/>
      <c r="C7" s="176" t="s">
        <v>164</v>
      </c>
      <c r="D7" s="191">
        <f>VLOOKUP("銀行存款-專戶存款",平衡!$E$13:$H$41,4,0)+VLOOKUP("其他預付款",平衡!$D$13:$H$41,5,0)</f>
        <v>8326736</v>
      </c>
      <c r="E7" s="191" t="e">
        <f>VLOOKUP("應付代收款",平衡!$N$13:$U$41,7,0)+VLOOKUP("存入保證金",平衡!$N$13:$U$41,7,0)</f>
        <v>#N/A</v>
      </c>
      <c r="F7" s="162" t="s">
        <v>165</v>
      </c>
    </row>
    <row r="8" spans="1:8" ht="20.25" thickBot="1">
      <c r="A8" s="77" t="s">
        <v>124</v>
      </c>
      <c r="B8" s="78" t="s">
        <v>125</v>
      </c>
      <c r="C8" s="176" t="s">
        <v>161</v>
      </c>
      <c r="D8" s="192">
        <f>VLOOKUP("合計：",平衡!$A$13:$H$41,8,0)</f>
        <v>53880121</v>
      </c>
      <c r="E8" s="192" t="e">
        <f>VLOOKUP("合計：",平衡!$K$13:$U$41,10,0)</f>
        <v>#N/A</v>
      </c>
    </row>
    <row r="9" spans="1:8" ht="17.25" thickBot="1">
      <c r="A9" s="73" t="s">
        <v>126</v>
      </c>
      <c r="B9" s="74" t="s">
        <v>127</v>
      </c>
      <c r="C9" s="176" t="s">
        <v>168</v>
      </c>
      <c r="D9" s="192">
        <f>VLOOKUP("基金用途",餘絀表!$C$16:$T$45,18,0)</f>
        <v>21620543</v>
      </c>
      <c r="E9" s="192">
        <f>VLOOKUP("合       計",各項費用!$D$12:$Q$86,14)</f>
        <v>21620543</v>
      </c>
      <c r="F9" s="192">
        <f>縣庫對帳!P3</f>
        <v>21620543</v>
      </c>
    </row>
    <row r="10" spans="1:8" ht="33.75" thickBot="1">
      <c r="A10" s="73" t="s">
        <v>128</v>
      </c>
      <c r="B10" s="74" t="s">
        <v>129</v>
      </c>
      <c r="C10" s="176" t="s">
        <v>324</v>
      </c>
      <c r="D10" s="192">
        <f>VLOOKUP("基金來源",餘絀表!$C$16:$T$45,18,0)</f>
        <v>22887974</v>
      </c>
      <c r="E10" s="192">
        <f>縣庫對帳!N3</f>
        <v>22887974</v>
      </c>
      <c r="F10" s="192"/>
      <c r="G10" s="192"/>
      <c r="H10" s="157" t="e">
        <f>D13-E13</f>
        <v>#N/A</v>
      </c>
    </row>
    <row r="11" spans="1:8" ht="27" customHeight="1">
      <c r="A11" s="612" t="s">
        <v>27</v>
      </c>
      <c r="B11" s="612" t="s">
        <v>130</v>
      </c>
      <c r="C11" s="176" t="s">
        <v>335</v>
      </c>
      <c r="D11" s="192">
        <f>VLOOKUP("政府撥入收入",餘絀表!$C$16:$T$45,18,0)</f>
        <v>22880013</v>
      </c>
      <c r="E11" s="192"/>
      <c r="F11" s="192">
        <f>VLOOKUP("政府撥入收入",收支!$B$14:$N$61,13,0)</f>
        <v>22880013</v>
      </c>
      <c r="G11" s="192">
        <f>VLOOKUP("政府撥入收入",對照表!$B$1:$E$28,4,0)</f>
        <v>22880013</v>
      </c>
    </row>
    <row r="12" spans="1:8" ht="28.5">
      <c r="A12" s="615"/>
      <c r="B12" s="615"/>
      <c r="C12" s="176" t="s">
        <v>336</v>
      </c>
      <c r="D12" s="192"/>
      <c r="E12" s="192"/>
      <c r="F12" s="192">
        <f>VLOOKUP("收入",收支!$A$14:$N$61,14,0)</f>
        <v>26257810</v>
      </c>
      <c r="G12" s="192">
        <f>VLOOKUP("基金來源",對照表!$A$1:$E$28,5,0)</f>
        <v>26257810</v>
      </c>
    </row>
    <row r="13" spans="1:8">
      <c r="A13" s="615"/>
      <c r="B13" s="615"/>
      <c r="C13" s="176" t="s">
        <v>321</v>
      </c>
      <c r="D13" s="192" t="e">
        <f>IF(封面!J10=12,0,VLOOKUP($G$13,平衡!$N$13:$U$41,7,0))</f>
        <v>#N/A</v>
      </c>
      <c r="E13" s="192" t="e">
        <f>IF(封面!J10=12,0,VLOOKUP("本期賸餘（短絀）",收支!$A$14:$N$36,14,0))</f>
        <v>#N/A</v>
      </c>
      <c r="F13" s="192">
        <f>IF(封面!K10=12,0,VLOOKUP("本期賸餘(短絀)",對照表!$A$1:$E$28,5,0))</f>
        <v>2773553</v>
      </c>
      <c r="G13" s="190" t="e">
        <f>IF(E13&gt;=0,"本期賸餘","本期短絀")</f>
        <v>#N/A</v>
      </c>
    </row>
    <row r="14" spans="1:8">
      <c r="A14" s="615"/>
      <c r="B14" s="615"/>
      <c r="C14" s="176" t="s">
        <v>322</v>
      </c>
      <c r="D14" s="192">
        <f>IF(封面!J10=12,0,VLOOKUP("本期賸餘(短絀－)",餘絀表!$C$16:$T$48,18,0))</f>
        <v>1267431</v>
      </c>
      <c r="E14" s="192"/>
      <c r="F14" s="192">
        <f>IF(封面!K11=12,0,VLOOKUP("本期賸餘(短絀)",對照表!$A$1:$C$28,3,0))</f>
        <v>1267431</v>
      </c>
      <c r="G14" s="190"/>
    </row>
    <row r="15" spans="1:8">
      <c r="A15" s="615"/>
      <c r="B15" s="615"/>
      <c r="C15" s="176" t="s">
        <v>323</v>
      </c>
      <c r="D15" s="192">
        <f>IF(封面!J12=12,0,VLOOKUP($G$15,平衡!$K$13:$U$41,10,0))</f>
        <v>45553385</v>
      </c>
      <c r="E15" s="192" t="e">
        <f>IF(封面!J12=12,0,VLOOKUP("期末淨資產",收支!$A$14:$N$36,14,0))</f>
        <v>#N/A</v>
      </c>
      <c r="F15" s="192" t="e">
        <f>IF(封面!K12=12,0,VLOOKUP("期末基金餘額",對照表!$A$1:$E$28,5,0))</f>
        <v>#N/A</v>
      </c>
      <c r="G15" s="190" t="s">
        <v>323</v>
      </c>
    </row>
    <row r="16" spans="1:8" ht="15" thickBot="1">
      <c r="A16" s="616"/>
      <c r="B16" s="616"/>
      <c r="C16" s="176" t="s">
        <v>153</v>
      </c>
      <c r="D16" s="192">
        <f>VLOOKUP("國民教育計畫",主要業務!$B$15:$J$24,7,0)</f>
        <v>2610515</v>
      </c>
      <c r="E16" s="192">
        <f>VLOOKUP("國民教育計畫",餘絀表!$C$16:$T$45,9,0)</f>
        <v>0</v>
      </c>
    </row>
    <row r="17" spans="1:8">
      <c r="A17" s="612" t="s">
        <v>142</v>
      </c>
      <c r="B17" s="612" t="s">
        <v>131</v>
      </c>
      <c r="C17" s="176" t="s">
        <v>154</v>
      </c>
      <c r="D17" s="192">
        <f>主要業務!H17</f>
        <v>21620543</v>
      </c>
      <c r="E17" s="192">
        <f>VLOOKUP("國民教育計畫",餘絀表!$C$16:$T$45,18,0)</f>
        <v>21620543</v>
      </c>
    </row>
    <row r="18" spans="1:8">
      <c r="A18" s="613"/>
      <c r="B18" s="615"/>
      <c r="C18" s="176" t="s">
        <v>155</v>
      </c>
      <c r="D18" s="192">
        <f>主要業務!H20</f>
        <v>0</v>
      </c>
      <c r="E18" s="192" t="e">
        <f>VLOOKUP("建築及設備計畫",餘絀表!$C$16:$T$45,9,0)</f>
        <v>#N/A</v>
      </c>
    </row>
    <row r="19" spans="1:8">
      <c r="A19" s="613"/>
      <c r="B19" s="615"/>
      <c r="C19" s="176" t="s">
        <v>156</v>
      </c>
      <c r="D19" s="192">
        <f>主要業務!H22</f>
        <v>0</v>
      </c>
      <c r="E19" s="192" t="e">
        <f>VLOOKUP("建築及設備計畫",餘絀表!$C$16:$T$45,18,0)</f>
        <v>#N/A</v>
      </c>
    </row>
    <row r="20" spans="1:8">
      <c r="A20" s="613"/>
      <c r="B20" s="615"/>
      <c r="C20" s="176" t="s">
        <v>325</v>
      </c>
      <c r="D20" s="192">
        <f>VLOOKUP("用人費用",各項費用!$F$12:$Q$100,12,0)</f>
        <v>20700348</v>
      </c>
      <c r="E20" s="192">
        <f>VLOOKUP("人事支出",收支!$B$14:$N$61,13,0)</f>
        <v>20700348</v>
      </c>
      <c r="F20" s="192">
        <f>VLOOKUP("用人費用",對照表!$B$1:$E$28,4,0)</f>
        <v>20700348</v>
      </c>
    </row>
    <row r="21" spans="1:8">
      <c r="A21" s="613"/>
      <c r="B21" s="615"/>
      <c r="C21" s="176" t="s">
        <v>326</v>
      </c>
      <c r="D21" s="192">
        <f>IF(E21=0,0,資產!F10+H21)</f>
        <v>2332484</v>
      </c>
      <c r="E21" s="192">
        <f>VLOOKUP("折舊、折耗及攤銷",收支!$B$14:$N$61,13,0)</f>
        <v>1863065</v>
      </c>
      <c r="F21" s="192">
        <f>VLOOKUP("折舊、折耗及攤銷",對照表!$H$1:$J$28,3,0)</f>
        <v>1863065</v>
      </c>
      <c r="G21" s="447" t="s">
        <v>337</v>
      </c>
      <c r="H21" s="448">
        <f>464532-4645</f>
        <v>459887</v>
      </c>
    </row>
    <row r="22" spans="1:8">
      <c r="A22" s="613"/>
      <c r="B22" s="615"/>
      <c r="C22" s="176" t="s">
        <v>297</v>
      </c>
      <c r="D22" s="191">
        <v>0</v>
      </c>
      <c r="E22" s="191"/>
      <c r="F22" s="161"/>
    </row>
    <row r="23" spans="1:8">
      <c r="A23" s="613"/>
      <c r="B23" s="615"/>
      <c r="C23" s="176" t="s">
        <v>298</v>
      </c>
      <c r="D23" s="191">
        <f>D28-D22-D24-D25-D26-D27</f>
        <v>-5</v>
      </c>
      <c r="E23" s="191"/>
      <c r="F23" s="161" t="s">
        <v>299</v>
      </c>
    </row>
    <row r="24" spans="1:8">
      <c r="A24" s="613"/>
      <c r="B24" s="615"/>
      <c r="C24" s="176" t="s">
        <v>300</v>
      </c>
      <c r="D24" s="191"/>
      <c r="E24" s="191"/>
      <c r="F24" s="161" t="s">
        <v>301</v>
      </c>
    </row>
    <row r="25" spans="1:8">
      <c r="A25" s="613"/>
      <c r="B25" s="615"/>
      <c r="C25" s="176" t="s">
        <v>302</v>
      </c>
      <c r="D25" s="191">
        <v>0</v>
      </c>
      <c r="E25" s="191"/>
      <c r="F25" s="161"/>
    </row>
    <row r="26" spans="1:8" ht="15" thickBot="1">
      <c r="A26" s="614"/>
      <c r="B26" s="616"/>
      <c r="C26" s="176" t="s">
        <v>303</v>
      </c>
      <c r="D26" s="191"/>
      <c r="E26" s="191"/>
      <c r="F26" s="161"/>
      <c r="H26" s="159"/>
    </row>
    <row r="27" spans="1:8" ht="33.75" thickBot="1">
      <c r="A27" s="73" t="s">
        <v>132</v>
      </c>
      <c r="B27" s="74" t="s">
        <v>143</v>
      </c>
      <c r="C27" s="176" t="s">
        <v>304</v>
      </c>
      <c r="D27" s="191">
        <v>5</v>
      </c>
      <c r="E27" s="191"/>
      <c r="F27" s="161"/>
    </row>
    <row r="28" spans="1:8" ht="33.75" thickBot="1">
      <c r="A28" s="73" t="s">
        <v>66</v>
      </c>
      <c r="B28" s="74" t="s">
        <v>133</v>
      </c>
      <c r="C28" s="176" t="s">
        <v>305</v>
      </c>
      <c r="D28" s="191"/>
      <c r="E28" s="191"/>
      <c r="F28" s="161" t="s">
        <v>306</v>
      </c>
    </row>
    <row r="29" spans="1:8" ht="17.25" thickBot="1">
      <c r="A29" s="73" t="s">
        <v>134</v>
      </c>
      <c r="B29" s="74" t="s">
        <v>135</v>
      </c>
      <c r="D29" s="179"/>
      <c r="E29" s="179"/>
    </row>
    <row r="30" spans="1:8">
      <c r="A30" s="612" t="s">
        <v>136</v>
      </c>
      <c r="B30" s="612" t="s">
        <v>137</v>
      </c>
      <c r="D30" s="192"/>
      <c r="E30" s="192"/>
      <c r="F30" s="179"/>
    </row>
    <row r="31" spans="1:8">
      <c r="A31" s="615"/>
      <c r="B31" s="615"/>
      <c r="D31" s="192"/>
      <c r="E31" s="192"/>
      <c r="F31" s="179"/>
    </row>
    <row r="32" spans="1:8" ht="15" thickBot="1">
      <c r="A32" s="614"/>
      <c r="B32" s="614"/>
      <c r="D32" s="192"/>
      <c r="E32" s="192"/>
      <c r="F32" s="179"/>
    </row>
    <row r="33" spans="1:2" ht="15" thickBot="1">
      <c r="A33" s="193"/>
      <c r="B33" s="193"/>
    </row>
    <row r="34" spans="1:2" ht="15" thickBot="1">
      <c r="A34" s="193"/>
      <c r="B34" s="193"/>
    </row>
    <row r="35" spans="1:2" ht="15" thickBot="1">
      <c r="A35" s="193"/>
      <c r="B35" s="193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5" t="s">
        <v>139</v>
      </c>
      <c r="B38" s="74" t="s">
        <v>159</v>
      </c>
    </row>
    <row r="39" spans="1:2" ht="33.75" thickBot="1">
      <c r="A39" s="145" t="s">
        <v>126</v>
      </c>
      <c r="B39" s="74" t="s">
        <v>160</v>
      </c>
    </row>
    <row r="40" spans="1:2" ht="17.25" thickBot="1">
      <c r="A40" s="145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89" t="s">
        <v>83</v>
      </c>
      <c r="B1" s="890"/>
      <c r="C1" s="890"/>
      <c r="D1" s="890"/>
      <c r="E1" s="890"/>
      <c r="F1" s="890"/>
      <c r="G1" s="890"/>
      <c r="H1" s="890"/>
      <c r="I1" s="890"/>
      <c r="J1" s="890"/>
      <c r="K1" s="890"/>
      <c r="L1" s="890"/>
      <c r="M1" s="890"/>
      <c r="N1" s="890"/>
      <c r="O1" s="890"/>
      <c r="P1" s="890"/>
      <c r="Q1" s="890"/>
      <c r="R1" s="891"/>
    </row>
    <row r="2" spans="1:85">
      <c r="A2" s="892" t="str">
        <f>"茲列出 貴機關"&amp;封面!H10&amp;封面!J10&amp;"01至"&amp;封面!H10&amp;封面!J10&amp;封面!O10&amp;"歲出分配餘額暨支付明細，送請詳加核對"</f>
        <v>茲列出 貴機關112701至112731歲出分配餘額暨支付明細，送請詳加核對</v>
      </c>
      <c r="B2" s="893"/>
      <c r="C2" s="893"/>
      <c r="D2" s="893"/>
      <c r="E2" s="893"/>
      <c r="F2" s="893"/>
      <c r="G2" s="893"/>
      <c r="H2" s="893"/>
      <c r="I2" s="893"/>
      <c r="J2" s="893"/>
      <c r="K2" s="893"/>
      <c r="L2" s="893"/>
      <c r="M2" s="893"/>
      <c r="N2" s="893"/>
      <c r="O2" s="893"/>
      <c r="P2" s="893"/>
      <c r="Q2" s="893"/>
      <c r="R2" s="894"/>
    </row>
    <row r="3" spans="1:85">
      <c r="A3" s="895" t="s">
        <v>84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7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64" t="s">
        <v>85</v>
      </c>
      <c r="D5" s="864"/>
      <c r="E5" s="864"/>
      <c r="F5" s="864"/>
      <c r="G5" s="864"/>
      <c r="H5" s="864" t="s">
        <v>86</v>
      </c>
      <c r="I5" s="864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88"/>
      <c r="D6" s="867"/>
      <c r="E6" s="867"/>
      <c r="F6" s="886" t="s">
        <v>88</v>
      </c>
      <c r="G6" s="862"/>
      <c r="H6" s="862"/>
      <c r="I6" s="862"/>
      <c r="J6" s="862"/>
      <c r="K6" s="862"/>
      <c r="L6" s="33"/>
      <c r="M6" s="33"/>
      <c r="N6" s="33"/>
      <c r="O6" s="33"/>
      <c r="P6" s="33"/>
      <c r="Q6" s="33"/>
      <c r="R6" s="40"/>
    </row>
    <row r="7" spans="1:85">
      <c r="A7" s="38"/>
      <c r="B7" s="886" t="s">
        <v>89</v>
      </c>
      <c r="C7" s="886"/>
      <c r="D7" s="886"/>
      <c r="E7" s="886"/>
      <c r="F7" s="886"/>
      <c r="G7" s="886"/>
      <c r="H7" s="886"/>
      <c r="I7" s="886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86" t="s">
        <v>90</v>
      </c>
      <c r="C8" s="886"/>
      <c r="D8" s="886"/>
      <c r="E8" s="886"/>
      <c r="F8" s="886"/>
      <c r="G8" s="886"/>
      <c r="H8" s="886"/>
      <c r="I8" s="886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68" t="s">
        <v>92</v>
      </c>
      <c r="C9" s="868"/>
      <c r="D9" s="868"/>
      <c r="E9" s="868"/>
      <c r="F9" s="868"/>
      <c r="G9" s="868"/>
      <c r="H9" s="868"/>
      <c r="I9" s="86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87" t="s">
        <v>93</v>
      </c>
      <c r="B10" s="864"/>
      <c r="C10" s="864"/>
      <c r="D10" s="865"/>
      <c r="E10" s="863" t="s">
        <v>94</v>
      </c>
      <c r="F10" s="865"/>
      <c r="G10" s="863" t="s">
        <v>95</v>
      </c>
      <c r="H10" s="865"/>
      <c r="I10" s="863" t="s">
        <v>96</v>
      </c>
      <c r="J10" s="865"/>
      <c r="K10" s="863" t="s">
        <v>71</v>
      </c>
      <c r="L10" s="865"/>
      <c r="M10" s="863" t="s">
        <v>97</v>
      </c>
      <c r="N10" s="864"/>
      <c r="O10" s="864"/>
      <c r="P10" s="864"/>
      <c r="Q10" s="864"/>
      <c r="R10" s="865"/>
    </row>
    <row r="11" spans="1:85" ht="52.5" customHeight="1">
      <c r="A11" s="857" t="s">
        <v>98</v>
      </c>
      <c r="B11" s="858"/>
      <c r="C11" s="858"/>
      <c r="D11" s="859"/>
      <c r="E11" s="879" t="s">
        <v>99</v>
      </c>
      <c r="F11" s="880"/>
      <c r="G11" s="853">
        <v>1053704</v>
      </c>
      <c r="H11" s="854"/>
      <c r="I11" s="853">
        <v>365251010501182</v>
      </c>
      <c r="J11" s="854"/>
      <c r="K11" s="855">
        <v>26000</v>
      </c>
      <c r="L11" s="856"/>
      <c r="M11" s="857" t="s">
        <v>100</v>
      </c>
      <c r="N11" s="858"/>
      <c r="O11" s="858"/>
      <c r="P11" s="858"/>
      <c r="Q11" s="858"/>
      <c r="R11" s="859"/>
      <c r="S11" s="45" t="s">
        <v>101</v>
      </c>
    </row>
    <row r="12" spans="1:85" ht="54" customHeight="1">
      <c r="A12" s="857" t="s">
        <v>102</v>
      </c>
      <c r="B12" s="858"/>
      <c r="C12" s="858"/>
      <c r="D12" s="859"/>
      <c r="E12" s="879" t="s">
        <v>103</v>
      </c>
      <c r="F12" s="880"/>
      <c r="G12" s="853">
        <v>1050843</v>
      </c>
      <c r="H12" s="854"/>
      <c r="I12" s="853">
        <v>365251010500989</v>
      </c>
      <c r="J12" s="854"/>
      <c r="K12" s="855">
        <v>129310</v>
      </c>
      <c r="L12" s="856"/>
      <c r="M12" s="857" t="s">
        <v>104</v>
      </c>
      <c r="N12" s="858"/>
      <c r="O12" s="858"/>
      <c r="P12" s="858"/>
      <c r="Q12" s="858"/>
      <c r="R12" s="859"/>
    </row>
    <row r="13" spans="1:85" ht="52.5" customHeight="1">
      <c r="A13" s="857" t="s">
        <v>105</v>
      </c>
      <c r="B13" s="858"/>
      <c r="C13" s="858"/>
      <c r="D13" s="859"/>
      <c r="E13" s="879" t="s">
        <v>99</v>
      </c>
      <c r="F13" s="880"/>
      <c r="G13" s="853">
        <v>1053632</v>
      </c>
      <c r="H13" s="854"/>
      <c r="I13" s="853">
        <v>365251010501170</v>
      </c>
      <c r="J13" s="854"/>
      <c r="K13" s="855">
        <v>12925</v>
      </c>
      <c r="L13" s="856"/>
      <c r="M13" s="857" t="s">
        <v>106</v>
      </c>
      <c r="N13" s="858"/>
      <c r="O13" s="858"/>
      <c r="P13" s="858"/>
      <c r="Q13" s="858"/>
      <c r="R13" s="859"/>
    </row>
    <row r="14" spans="1:85">
      <c r="A14" s="881"/>
      <c r="B14" s="882"/>
      <c r="C14" s="882"/>
      <c r="D14" s="883"/>
      <c r="E14" s="884"/>
      <c r="F14" s="885"/>
      <c r="G14" s="860"/>
      <c r="H14" s="861"/>
      <c r="I14" s="860"/>
      <c r="J14" s="861"/>
      <c r="K14" s="872"/>
      <c r="L14" s="873"/>
      <c r="M14" s="874"/>
      <c r="N14" s="875"/>
      <c r="O14" s="875"/>
      <c r="P14" s="875"/>
      <c r="Q14" s="875"/>
      <c r="R14" s="876"/>
    </row>
    <row r="15" spans="1:85">
      <c r="A15" s="863" t="s">
        <v>107</v>
      </c>
      <c r="B15" s="864"/>
      <c r="C15" s="864"/>
      <c r="D15" s="864"/>
      <c r="E15" s="864"/>
      <c r="F15" s="864"/>
      <c r="G15" s="864"/>
      <c r="H15" s="864"/>
      <c r="I15" s="864"/>
      <c r="J15" s="864"/>
      <c r="K15" s="864"/>
      <c r="L15" s="864"/>
      <c r="M15" s="864"/>
      <c r="N15" s="864"/>
      <c r="O15" s="864"/>
      <c r="P15" s="864"/>
      <c r="Q15" s="864"/>
      <c r="R15" s="86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66" t="s">
        <v>108</v>
      </c>
      <c r="B16" s="86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68" t="s">
        <v>110</v>
      </c>
      <c r="D18" s="868"/>
      <c r="E18" s="43"/>
      <c r="F18" s="43"/>
      <c r="G18" s="42"/>
      <c r="H18" s="42"/>
      <c r="I18" s="868" t="s">
        <v>111</v>
      </c>
      <c r="J18" s="868"/>
      <c r="K18" s="868"/>
      <c r="L18" s="43"/>
      <c r="M18" s="43"/>
      <c r="N18" s="43"/>
      <c r="O18" s="43"/>
      <c r="P18" s="869">
        <f ca="1">NOW()</f>
        <v>45260.487989120367</v>
      </c>
      <c r="Q18" s="870"/>
      <c r="R18" s="87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67" t="s">
        <v>112</v>
      </c>
      <c r="B19" s="867"/>
      <c r="E19" s="877" t="s">
        <v>113</v>
      </c>
      <c r="F19" s="878"/>
      <c r="G19" s="878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62" t="s">
        <v>115</v>
      </c>
      <c r="B20" s="862"/>
      <c r="F20" s="862" t="s">
        <v>115</v>
      </c>
      <c r="G20" s="862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7"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76" bestFit="1" customWidth="1"/>
    <col min="4" max="5" width="11.5703125" style="157" customWidth="1"/>
    <col min="6" max="6" width="12.85546875" style="157" bestFit="1" customWidth="1"/>
    <col min="7" max="7" width="17.85546875" style="157" customWidth="1"/>
    <col min="8" max="8" width="11.28515625" bestFit="1" customWidth="1"/>
  </cols>
  <sheetData>
    <row r="1" spans="1:8">
      <c r="A1" s="619" t="s">
        <v>338</v>
      </c>
      <c r="B1" s="619"/>
    </row>
    <row r="2" spans="1:8">
      <c r="A2" s="620" t="s">
        <v>339</v>
      </c>
      <c r="B2" s="619"/>
    </row>
    <row r="3" spans="1:8">
      <c r="A3" s="619" t="s">
        <v>340</v>
      </c>
      <c r="B3" s="619"/>
    </row>
    <row r="4" spans="1:8" ht="28.5">
      <c r="A4" s="619" t="s">
        <v>341</v>
      </c>
      <c r="B4" s="619"/>
      <c r="C4" s="177" t="s">
        <v>342</v>
      </c>
      <c r="D4" s="189" t="s">
        <v>343</v>
      </c>
      <c r="E4" s="157" t="s">
        <v>344</v>
      </c>
      <c r="F4" s="189" t="s">
        <v>345</v>
      </c>
    </row>
    <row r="5" spans="1:8">
      <c r="A5" s="620" t="s">
        <v>346</v>
      </c>
      <c r="B5" s="619"/>
      <c r="C5" s="178">
        <v>0</v>
      </c>
      <c r="D5" s="179">
        <f>縣庫對帳!P6</f>
        <v>141920</v>
      </c>
      <c r="E5" s="179">
        <v>40000</v>
      </c>
      <c r="F5" s="179">
        <f>庫款差額!C8+庫款差額!C15-庫款差額!C18-庫款差額!C21</f>
        <v>5723000</v>
      </c>
    </row>
    <row r="6" spans="1:8" ht="15" thickBot="1">
      <c r="A6" s="617" t="s">
        <v>347</v>
      </c>
      <c r="B6" s="618"/>
      <c r="C6" s="176" t="s">
        <v>348</v>
      </c>
      <c r="D6" s="191">
        <f>VLOOKUP("銀行存款-縣庫存款",平衡!$E$13:$H$41,4,0)+VLOOKUP("零用及週轉金",平衡!$D$13:$H$41,5,0)</f>
        <v>3008994</v>
      </c>
      <c r="E6" s="191">
        <f>VLOOKUP("淨資產",平衡!$K$13:$U$64,10,0)+C5-VLOOKUP("固定資產",平衡!$B$13:$H$41,7,0)</f>
        <v>3008994</v>
      </c>
      <c r="F6" s="162" t="s">
        <v>349</v>
      </c>
    </row>
    <row r="7" spans="1:8" ht="15" thickBot="1">
      <c r="A7" s="617" t="s">
        <v>350</v>
      </c>
      <c r="B7" s="618"/>
      <c r="C7" s="176" t="s">
        <v>351</v>
      </c>
      <c r="D7" s="191">
        <f>VLOOKUP("銀行存款-專戶存款",平衡!$E$13:$H$41,4,0)+VLOOKUP("其他預付款",平衡!$D$13:$H$41,5,0)</f>
        <v>8326736</v>
      </c>
      <c r="E7" s="191" t="e">
        <f>VLOOKUP("應付代收款",平衡!$N$13:$U$41,7,0)+VLOOKUP("存入保證金",平衡!$N$13:$U$41,7,0)</f>
        <v>#N/A</v>
      </c>
      <c r="F7" s="162" t="s">
        <v>352</v>
      </c>
    </row>
    <row r="8" spans="1:8" ht="20.25" thickBot="1">
      <c r="A8" s="77" t="s">
        <v>124</v>
      </c>
      <c r="B8" s="78" t="s">
        <v>125</v>
      </c>
      <c r="C8" s="176" t="s">
        <v>353</v>
      </c>
      <c r="D8" s="192">
        <f>VLOOKUP("合計：",平衡!$A$13:$H$41,8,0)</f>
        <v>53880121</v>
      </c>
      <c r="E8" s="192" t="e">
        <f>VLOOKUP("合計：",平衡!$K$13:$U$41,10,0)</f>
        <v>#N/A</v>
      </c>
    </row>
    <row r="9" spans="1:8" ht="17.25" thickBot="1">
      <c r="A9" s="451" t="s">
        <v>126</v>
      </c>
      <c r="B9" s="74" t="s">
        <v>127</v>
      </c>
      <c r="C9" s="176" t="s">
        <v>354</v>
      </c>
      <c r="D9" s="192">
        <f>VLOOKUP("基金用途",餘絀表!$C$16:$T$45,18,0)</f>
        <v>21620543</v>
      </c>
      <c r="E9" s="192">
        <f>VLOOKUP("合       計",各項費用!$D$12:$Q$86,14)</f>
        <v>21620543</v>
      </c>
      <c r="F9" s="192">
        <f>縣庫對帳!P3</f>
        <v>21620543</v>
      </c>
    </row>
    <row r="10" spans="1:8" ht="33.75" thickBot="1">
      <c r="A10" s="451" t="s">
        <v>128</v>
      </c>
      <c r="B10" s="74" t="s">
        <v>129</v>
      </c>
      <c r="C10" s="176" t="s">
        <v>355</v>
      </c>
      <c r="D10" s="192">
        <f>VLOOKUP("基金來源",餘絀表!$C$16:$T$45,18,0)</f>
        <v>22887974</v>
      </c>
      <c r="E10" s="192">
        <f>縣庫對帳!N3</f>
        <v>22887974</v>
      </c>
      <c r="F10" s="192"/>
      <c r="G10" s="192"/>
      <c r="H10" s="179" t="e">
        <f>D13-E13</f>
        <v>#N/A</v>
      </c>
    </row>
    <row r="11" spans="1:8" ht="27" customHeight="1">
      <c r="A11" s="612" t="s">
        <v>27</v>
      </c>
      <c r="B11" s="612" t="s">
        <v>130</v>
      </c>
      <c r="C11" s="176" t="s">
        <v>356</v>
      </c>
      <c r="D11" s="192">
        <f>VLOOKUP("政府撥入收入",餘絀表!$C$16:$T$45,18,0)</f>
        <v>22880013</v>
      </c>
      <c r="E11" s="192"/>
      <c r="F11" s="192">
        <f>VLOOKUP("政府撥入收入",收支!$B$14:$N$61,13,0)</f>
        <v>22880013</v>
      </c>
      <c r="G11" s="192">
        <f>VLOOKUP("政府撥入收入",對照表!$B$1:$E$28,4,0)</f>
        <v>22880013</v>
      </c>
    </row>
    <row r="12" spans="1:8" ht="28.5">
      <c r="A12" s="615"/>
      <c r="B12" s="615"/>
      <c r="C12" s="176" t="s">
        <v>357</v>
      </c>
      <c r="D12" s="192"/>
      <c r="E12" s="192"/>
      <c r="F12" s="192">
        <f>VLOOKUP("收入",收支!$A$14:$N$61,14,0)</f>
        <v>26257810</v>
      </c>
      <c r="G12" s="192">
        <f>VLOOKUP("基金來源",對照表!$A$1:$E$28,5,0)</f>
        <v>26257810</v>
      </c>
    </row>
    <row r="13" spans="1:8">
      <c r="A13" s="615"/>
      <c r="B13" s="615"/>
      <c r="C13" s="176" t="s">
        <v>358</v>
      </c>
      <c r="D13" s="192" t="e">
        <f>IF(封面!J10=12,0,VLOOKUP($G$13,平衡!$N$13:$U$41,7,0))</f>
        <v>#N/A</v>
      </c>
      <c r="E13" s="192">
        <f>VLOOKUP("本期賸餘（短絀）",收支!$A$14:$N$50,14,0)</f>
        <v>2773553</v>
      </c>
      <c r="F13" s="192">
        <f>VLOOKUP("本期賸餘(短絀)",對照表!$A$1:$E$28,5,0)</f>
        <v>2773553</v>
      </c>
      <c r="G13" s="190" t="str">
        <f>IF(E13&gt;=0,"本期賸餘","本期短絀")</f>
        <v>本期賸餘</v>
      </c>
    </row>
    <row r="14" spans="1:8">
      <c r="A14" s="615"/>
      <c r="B14" s="615"/>
      <c r="C14" s="176" t="s">
        <v>359</v>
      </c>
      <c r="D14" s="192">
        <f>IF(封面!J10=12,0,VLOOKUP("本期賸餘(短絀－)",餘絀表!$C$16:$T$48,18,0))</f>
        <v>1267431</v>
      </c>
      <c r="E14" s="192"/>
      <c r="F14" s="192">
        <f>IF(封面!J10=12,0,VLOOKUP("本期賸餘(短絀)",對照表!$A$1:$C$28,3,0))</f>
        <v>1267431</v>
      </c>
      <c r="G14" s="190"/>
    </row>
    <row r="15" spans="1:8">
      <c r="A15" s="615"/>
      <c r="B15" s="615"/>
      <c r="C15" s="176" t="s">
        <v>360</v>
      </c>
      <c r="D15" s="192">
        <f>IF(封面!J12=12,0,VLOOKUP($G$15,平衡!$K$13:$U$41,10,0))</f>
        <v>45553385</v>
      </c>
      <c r="E15" s="192">
        <f>IF(封面!J12=12,0,VLOOKUP("期末淨資產",收支!$A$14:$N$50,14,0))</f>
        <v>45553385</v>
      </c>
      <c r="F15" s="192">
        <f>IF(封面!K12=12,0,VLOOKUP("期末基金餘額",對照表!$A$1:$E$40,5,0))</f>
        <v>45553385</v>
      </c>
      <c r="G15" s="190" t="s">
        <v>360</v>
      </c>
    </row>
    <row r="16" spans="1:8" ht="15" thickBot="1">
      <c r="A16" s="616"/>
      <c r="B16" s="616"/>
      <c r="C16" s="176" t="s">
        <v>361</v>
      </c>
      <c r="D16" s="192">
        <f>VLOOKUP("國民教育計畫",主要業務!$B$15:$J$24,7,0)</f>
        <v>2610515</v>
      </c>
      <c r="E16" s="192">
        <f>VLOOKUP("國民教育計畫",餘絀表!$C$16:$T$45,8,0)</f>
        <v>2610515</v>
      </c>
    </row>
    <row r="17" spans="1:10">
      <c r="A17" s="612" t="s">
        <v>142</v>
      </c>
      <c r="B17" s="612" t="s">
        <v>131</v>
      </c>
      <c r="C17" s="176" t="s">
        <v>362</v>
      </c>
      <c r="D17" s="192">
        <f>主要業務!H17</f>
        <v>21620543</v>
      </c>
      <c r="E17" s="192">
        <f>VLOOKUP("國民教育計畫",餘絀表!$C$16:$T$45,18,0)</f>
        <v>21620543</v>
      </c>
    </row>
    <row r="18" spans="1:10">
      <c r="A18" s="613"/>
      <c r="B18" s="615"/>
      <c r="C18" s="176" t="s">
        <v>363</v>
      </c>
      <c r="D18" s="192">
        <f>主要業務!H20</f>
        <v>0</v>
      </c>
      <c r="E18" s="192" t="e">
        <f>VLOOKUP("建築及設備計畫",餘絀表!$C$16:$T$45,9,0)</f>
        <v>#N/A</v>
      </c>
    </row>
    <row r="19" spans="1:10">
      <c r="A19" s="613"/>
      <c r="B19" s="615"/>
      <c r="C19" s="176" t="s">
        <v>364</v>
      </c>
      <c r="D19" s="192">
        <f>主要業務!H22</f>
        <v>0</v>
      </c>
      <c r="E19" s="192" t="e">
        <f>VLOOKUP("建築及設備計畫",餘絀表!$C$16:$T$45,18,0)</f>
        <v>#N/A</v>
      </c>
    </row>
    <row r="20" spans="1:10">
      <c r="A20" s="613"/>
      <c r="B20" s="615"/>
      <c r="C20" s="176" t="s">
        <v>365</v>
      </c>
      <c r="D20" s="192">
        <f>VLOOKUP("用人費用",各項費用!$F$12:$Q$100,12,0)</f>
        <v>20700348</v>
      </c>
      <c r="E20" s="192">
        <f>VLOOKUP("人事支出",收支!$B$14:$N$61,13,0)</f>
        <v>20700348</v>
      </c>
      <c r="F20" s="192">
        <f>VLOOKUP("用人費用",對照表!$B$1:$E$28,4,0)</f>
        <v>20700348</v>
      </c>
    </row>
    <row r="21" spans="1:10">
      <c r="A21" s="613"/>
      <c r="B21" s="615"/>
      <c r="C21" s="176" t="s">
        <v>366</v>
      </c>
      <c r="D21" s="192">
        <f>IF(E21=0,0,資產!F10+H21-H22)</f>
        <v>1863065</v>
      </c>
      <c r="E21" s="192">
        <f>VLOOKUP("折舊、折耗及攤銷",收支!$B$14:$N$61,13,0)</f>
        <v>1863065</v>
      </c>
      <c r="F21" s="192">
        <f>VLOOKUP("折舊、折耗及攤銷",對照表!$H$1:$J$28,3,0)</f>
        <v>1863065</v>
      </c>
      <c r="G21" s="447" t="s">
        <v>367</v>
      </c>
      <c r="H21" s="448">
        <v>64274</v>
      </c>
    </row>
    <row r="22" spans="1:10">
      <c r="A22" s="613"/>
      <c r="B22" s="615"/>
      <c r="C22" s="457"/>
      <c r="D22" s="179"/>
      <c r="E22" s="179"/>
      <c r="F22" s="179"/>
      <c r="G22" s="543" t="s">
        <v>445</v>
      </c>
      <c r="H22" s="458">
        <f>57720+16086</f>
        <v>73806</v>
      </c>
    </row>
    <row r="23" spans="1:10">
      <c r="A23" s="613"/>
      <c r="B23" s="624"/>
      <c r="C23" s="475"/>
      <c r="D23" s="545" t="str">
        <f>封面!H10&amp;封面!I10&amp;封面!J10&amp;封面!K10&amp;"會計報告各帳戶存款餘額"</f>
        <v>112年7月會計報告各帳戶存款餘額</v>
      </c>
      <c r="E23" s="548"/>
      <c r="F23" s="546"/>
      <c r="G23" s="476" t="s">
        <v>368</v>
      </c>
      <c r="H23" s="477"/>
    </row>
    <row r="24" spans="1:10">
      <c r="A24" s="613"/>
      <c r="B24" s="624"/>
      <c r="C24" s="475"/>
      <c r="D24" s="478" t="s">
        <v>369</v>
      </c>
      <c r="E24" s="479" t="s">
        <v>370</v>
      </c>
      <c r="F24" s="480" t="s">
        <v>371</v>
      </c>
      <c r="G24" s="481"/>
      <c r="H24" s="481"/>
      <c r="I24" s="157"/>
    </row>
    <row r="25" spans="1:10">
      <c r="A25" s="613"/>
      <c r="B25" s="624"/>
      <c r="C25" s="482" t="s">
        <v>372</v>
      </c>
      <c r="D25" s="482">
        <f>代收款!Y14</f>
        <v>3</v>
      </c>
      <c r="E25" s="482"/>
      <c r="F25" s="483">
        <f t="shared" ref="F25" si="0">SUM(D25:E25)</f>
        <v>3</v>
      </c>
      <c r="G25" s="483"/>
      <c r="H25" s="484"/>
      <c r="I25" s="157"/>
    </row>
    <row r="26" spans="1:10" ht="15" thickBot="1">
      <c r="A26" s="614"/>
      <c r="B26" s="625"/>
      <c r="C26" s="482" t="s">
        <v>373</v>
      </c>
      <c r="D26" s="486">
        <f>F26</f>
        <v>4699216</v>
      </c>
      <c r="E26" s="485"/>
      <c r="F26" s="487">
        <f>F31-SUM(F25,F27:F30)</f>
        <v>4699216</v>
      </c>
      <c r="G26" s="483"/>
      <c r="H26" s="484"/>
      <c r="I26" s="157"/>
    </row>
    <row r="27" spans="1:10" ht="17.25" thickBot="1">
      <c r="A27" s="451" t="s">
        <v>132</v>
      </c>
      <c r="B27" s="474" t="s">
        <v>143</v>
      </c>
      <c r="C27" s="482" t="s">
        <v>300</v>
      </c>
      <c r="D27" s="561">
        <f>代收款!Y94</f>
        <v>806433</v>
      </c>
      <c r="E27" s="561"/>
      <c r="F27" s="483">
        <f t="shared" ref="F27:F28" si="1">SUM(D27:E27)</f>
        <v>806433</v>
      </c>
      <c r="G27" s="483"/>
      <c r="H27" s="484"/>
      <c r="I27" s="157"/>
    </row>
    <row r="28" spans="1:10" ht="16.899999999999999" customHeight="1" thickBot="1">
      <c r="A28" s="451" t="s">
        <v>66</v>
      </c>
      <c r="B28" s="474" t="s">
        <v>133</v>
      </c>
      <c r="C28" s="482" t="s">
        <v>303</v>
      </c>
      <c r="D28" s="561">
        <f>代收款!Y117</f>
        <v>917178</v>
      </c>
      <c r="E28" s="561">
        <f>代收款!Z117</f>
        <v>1900000</v>
      </c>
      <c r="F28" s="483">
        <f t="shared" si="1"/>
        <v>2817178</v>
      </c>
      <c r="G28" s="483"/>
      <c r="H28" s="484"/>
      <c r="I28" s="157"/>
      <c r="J28" s="159"/>
    </row>
    <row r="29" spans="1:10" ht="17.25" thickBot="1">
      <c r="A29" s="451" t="s">
        <v>134</v>
      </c>
      <c r="B29" s="474" t="s">
        <v>135</v>
      </c>
      <c r="C29" s="482" t="s">
        <v>302</v>
      </c>
      <c r="D29" s="485"/>
      <c r="E29" s="485"/>
      <c r="F29" s="483">
        <f>SUM(D29:E29)</f>
        <v>0</v>
      </c>
      <c r="G29" s="483"/>
      <c r="H29" s="484"/>
      <c r="I29" s="157"/>
    </row>
    <row r="30" spans="1:10">
      <c r="A30" s="612" t="s">
        <v>136</v>
      </c>
      <c r="B30" s="623" t="s">
        <v>137</v>
      </c>
      <c r="C30" s="482" t="s">
        <v>374</v>
      </c>
      <c r="D30" s="485">
        <f>代收款!Y89</f>
        <v>98</v>
      </c>
      <c r="E30" s="485"/>
      <c r="F30" s="483">
        <f>SUM(D30:E30)</f>
        <v>98</v>
      </c>
      <c r="G30" s="483"/>
      <c r="H30" s="484"/>
      <c r="I30" s="157"/>
    </row>
    <row r="31" spans="1:10">
      <c r="A31" s="615"/>
      <c r="B31" s="624"/>
      <c r="C31" s="488" t="s">
        <v>375</v>
      </c>
      <c r="D31" s="489">
        <f>SUM(D25:D30)</f>
        <v>6422928</v>
      </c>
      <c r="E31" s="489">
        <f>SUM(E25:E30)</f>
        <v>1900000</v>
      </c>
      <c r="F31" s="487">
        <f>VLOOKUP("銀行存款-專戶存款",平衡!$E$13:$H$40,4,0)</f>
        <v>8322928</v>
      </c>
      <c r="G31" s="490">
        <f>SUM(G25:G30)</f>
        <v>0</v>
      </c>
      <c r="H31" s="484"/>
      <c r="I31" s="157"/>
    </row>
    <row r="32" spans="1:10" ht="15" thickBot="1">
      <c r="A32" s="614"/>
      <c r="B32" s="614"/>
      <c r="C32" s="488" t="s">
        <v>443</v>
      </c>
      <c r="D32" s="621">
        <f>SUM(D31:E31)</f>
        <v>8322928</v>
      </c>
      <c r="E32" s="622"/>
      <c r="F32" s="179"/>
      <c r="G32" s="179"/>
      <c r="H32" s="157"/>
      <c r="I32" s="157"/>
    </row>
    <row r="33" spans="1:9" ht="15" thickBot="1">
      <c r="A33" s="193"/>
      <c r="B33" s="193"/>
      <c r="D33" s="176"/>
      <c r="E33" s="176"/>
      <c r="F33" s="192"/>
      <c r="G33" s="192"/>
      <c r="H33" s="179"/>
      <c r="I33" s="157"/>
    </row>
    <row r="34" spans="1:9" ht="15" thickBot="1">
      <c r="A34" s="193"/>
      <c r="B34" s="193"/>
      <c r="D34" s="176"/>
      <c r="E34" s="176"/>
      <c r="F34" s="192"/>
      <c r="G34" s="192"/>
      <c r="H34" s="179"/>
      <c r="I34" s="157"/>
    </row>
    <row r="35" spans="1:9" ht="15" thickBot="1">
      <c r="A35" s="193"/>
      <c r="B35" s="193"/>
      <c r="D35" s="176"/>
      <c r="E35" s="176"/>
      <c r="F35" s="192"/>
      <c r="G35" s="192"/>
      <c r="H35" s="179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1" t="s">
        <v>139</v>
      </c>
      <c r="B38" s="74" t="s">
        <v>159</v>
      </c>
    </row>
    <row r="39" spans="1:9" ht="33.75" thickBot="1">
      <c r="A39" s="451" t="s">
        <v>126</v>
      </c>
      <c r="B39" s="74" t="s">
        <v>160</v>
      </c>
    </row>
    <row r="40" spans="1:9" ht="17.25" thickBot="1">
      <c r="A40" s="451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84D8C-F6FB-4326-BE41-769F615AC078}">
  <sheetPr>
    <outlinePr summaryBelow="0"/>
    <pageSetUpPr autoPageBreaks="0"/>
  </sheetPr>
  <dimension ref="A1:Z186"/>
  <sheetViews>
    <sheetView showGridLines="0" topLeftCell="A85" workbookViewId="0">
      <selection activeCell="Z118" sqref="Z118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customWidth="1"/>
    <col min="21" max="21" width="1" customWidth="1"/>
    <col min="22" max="22" width="1.140625" customWidth="1"/>
    <col min="23" max="23" width="2.85546875" customWidth="1"/>
    <col min="24" max="24" width="9.85546875" customWidth="1"/>
    <col min="25" max="25" width="9.140625" customWidth="1"/>
    <col min="26" max="26" width="10.1406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5" ht="6" customHeight="1"/>
    <row r="2" spans="1:25" ht="18.75" customHeight="1">
      <c r="R2" s="639" t="s">
        <v>681</v>
      </c>
      <c r="S2" s="639"/>
      <c r="T2" s="639"/>
      <c r="U2" s="639"/>
      <c r="V2" s="639"/>
      <c r="W2" s="639"/>
    </row>
    <row r="3" spans="1:25" ht="24" customHeight="1">
      <c r="A3" s="640" t="s">
        <v>682</v>
      </c>
      <c r="B3" s="640"/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640"/>
      <c r="T3" s="640"/>
      <c r="U3" s="640"/>
      <c r="V3" s="640"/>
      <c r="W3" s="640"/>
    </row>
    <row r="4" spans="1:25" ht="24" customHeight="1">
      <c r="A4" s="640" t="s">
        <v>683</v>
      </c>
      <c r="B4" s="640"/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640"/>
      <c r="T4" s="640"/>
      <c r="U4" s="640"/>
      <c r="V4" s="640"/>
      <c r="W4" s="640"/>
    </row>
    <row r="5" spans="1:25" ht="24" customHeight="1">
      <c r="A5" s="640" t="s">
        <v>684</v>
      </c>
      <c r="B5" s="640"/>
      <c r="C5" s="640"/>
      <c r="D5" s="640"/>
      <c r="E5" s="640"/>
      <c r="F5" s="640"/>
      <c r="G5" s="640"/>
      <c r="H5" s="640"/>
      <c r="I5" s="640"/>
      <c r="J5" s="640"/>
      <c r="K5" s="640"/>
      <c r="L5" s="640"/>
      <c r="M5" s="640"/>
      <c r="N5" s="640"/>
      <c r="O5" s="640"/>
      <c r="P5" s="640"/>
      <c r="Q5" s="640"/>
      <c r="R5" s="640"/>
      <c r="S5" s="640"/>
      <c r="T5" s="640"/>
      <c r="U5" s="640"/>
      <c r="V5" s="640"/>
      <c r="W5" s="640"/>
    </row>
    <row r="6" spans="1:25" ht="20.25" customHeight="1"/>
    <row r="7" spans="1:25" ht="12" customHeight="1">
      <c r="A7" s="636" t="s">
        <v>685</v>
      </c>
      <c r="B7" s="636"/>
      <c r="C7" s="636"/>
      <c r="E7" s="636" t="s">
        <v>686</v>
      </c>
      <c r="F7" s="636" t="s">
        <v>687</v>
      </c>
      <c r="G7" s="636"/>
      <c r="H7" s="636" t="s">
        <v>688</v>
      </c>
      <c r="I7" s="636"/>
      <c r="K7" s="636" t="s">
        <v>689</v>
      </c>
      <c r="L7" s="636"/>
      <c r="N7" s="636" t="s">
        <v>690</v>
      </c>
      <c r="Q7" s="636" t="s">
        <v>691</v>
      </c>
      <c r="R7" s="636"/>
      <c r="T7" s="636" t="s">
        <v>692</v>
      </c>
      <c r="W7" s="636" t="s">
        <v>693</v>
      </c>
      <c r="X7" s="636"/>
    </row>
    <row r="8" spans="1:25" ht="12" customHeight="1">
      <c r="A8" s="636"/>
      <c r="B8" s="636"/>
      <c r="C8" s="636"/>
      <c r="E8" s="636"/>
      <c r="F8" s="636"/>
      <c r="G8" s="636"/>
      <c r="H8" s="636"/>
      <c r="I8" s="636"/>
      <c r="K8" s="636"/>
      <c r="L8" s="636"/>
      <c r="N8" s="636"/>
      <c r="Q8" s="636"/>
      <c r="R8" s="636"/>
      <c r="T8" s="636"/>
      <c r="W8" s="636"/>
      <c r="X8" s="636"/>
    </row>
    <row r="9" spans="1:25" ht="16.5" customHeight="1">
      <c r="A9" s="636"/>
      <c r="B9" s="636"/>
      <c r="C9" s="636"/>
      <c r="E9" s="636"/>
      <c r="F9" s="636"/>
      <c r="G9" s="636"/>
      <c r="H9" s="636"/>
      <c r="I9" s="636"/>
      <c r="K9" s="636"/>
      <c r="L9" s="636"/>
      <c r="N9" s="636"/>
      <c r="Q9" s="636"/>
      <c r="R9" s="636"/>
      <c r="T9" s="636"/>
      <c r="W9" s="636"/>
      <c r="X9" s="636"/>
    </row>
    <row r="10" spans="1:25" ht="6" customHeight="1"/>
    <row r="11" spans="1:25" s="596" customFormat="1" ht="14.25" customHeight="1">
      <c r="B11" s="637" t="s">
        <v>694</v>
      </c>
      <c r="C11" s="637"/>
      <c r="E11" s="597">
        <v>259509</v>
      </c>
      <c r="G11" s="597">
        <v>259509</v>
      </c>
      <c r="I11" s="597">
        <v>259509</v>
      </c>
    </row>
    <row r="12" spans="1:25" s="596" customFormat="1" ht="14.25" customHeight="1">
      <c r="B12" s="637"/>
      <c r="C12" s="637"/>
    </row>
    <row r="13" spans="1:25" s="596" customFormat="1" ht="14.25" customHeight="1">
      <c r="B13" s="637" t="s">
        <v>695</v>
      </c>
      <c r="C13" s="637"/>
      <c r="E13" s="597">
        <v>3</v>
      </c>
      <c r="Q13" s="638">
        <v>3</v>
      </c>
      <c r="R13" s="638"/>
      <c r="T13" s="638">
        <v>3</v>
      </c>
      <c r="U13" s="638"/>
      <c r="W13" s="638">
        <v>3</v>
      </c>
      <c r="X13" s="638"/>
    </row>
    <row r="14" spans="1:25" s="596" customFormat="1" ht="14.25" customHeight="1">
      <c r="B14" s="637"/>
      <c r="C14" s="637"/>
      <c r="Y14" s="596">
        <f>SUM(Q11:R14)</f>
        <v>3</v>
      </c>
    </row>
    <row r="15" spans="1:25" ht="14.25" customHeight="1">
      <c r="B15" s="626" t="s">
        <v>696</v>
      </c>
      <c r="C15" s="626"/>
      <c r="E15" s="593">
        <v>2260800</v>
      </c>
      <c r="G15" s="593">
        <v>2260800</v>
      </c>
      <c r="I15" s="593">
        <v>2260800</v>
      </c>
    </row>
    <row r="16" spans="1:25" ht="14.25" customHeight="1">
      <c r="B16" s="626"/>
      <c r="C16" s="626"/>
    </row>
    <row r="17" spans="2:24" ht="14.25" customHeight="1">
      <c r="B17" s="626" t="s">
        <v>697</v>
      </c>
      <c r="C17" s="626"/>
      <c r="E17" s="593">
        <v>590128</v>
      </c>
      <c r="G17" s="593">
        <v>590128</v>
      </c>
      <c r="I17" s="593">
        <v>590128</v>
      </c>
    </row>
    <row r="18" spans="2:24" ht="14.25" customHeight="1">
      <c r="B18" s="626"/>
      <c r="C18" s="626"/>
    </row>
    <row r="19" spans="2:24" ht="14.25" customHeight="1">
      <c r="B19" s="626" t="s">
        <v>698</v>
      </c>
      <c r="C19" s="626"/>
      <c r="E19" s="593">
        <v>199904</v>
      </c>
      <c r="G19" s="593">
        <v>191746</v>
      </c>
      <c r="I19" s="593">
        <v>191746</v>
      </c>
      <c r="Q19" s="627">
        <v>8158</v>
      </c>
      <c r="R19" s="627"/>
      <c r="T19" s="627">
        <v>8158</v>
      </c>
      <c r="U19" s="627"/>
      <c r="W19" s="627">
        <v>8158</v>
      </c>
      <c r="X19" s="627"/>
    </row>
    <row r="20" spans="2:24" ht="14.25" customHeight="1">
      <c r="B20" s="626"/>
      <c r="C20" s="626"/>
    </row>
    <row r="21" spans="2:24" ht="14.25" customHeight="1">
      <c r="B21" s="626" t="s">
        <v>699</v>
      </c>
      <c r="C21" s="626"/>
      <c r="E21" s="593">
        <v>96987</v>
      </c>
      <c r="G21" s="593">
        <v>96987</v>
      </c>
      <c r="I21" s="593">
        <v>96987</v>
      </c>
    </row>
    <row r="22" spans="2:24" ht="14.25" customHeight="1">
      <c r="B22" s="626"/>
      <c r="C22" s="626"/>
    </row>
    <row r="23" spans="2:24" ht="14.25" customHeight="1">
      <c r="B23" s="626" t="s">
        <v>700</v>
      </c>
      <c r="C23" s="626"/>
      <c r="E23" s="593">
        <v>342716</v>
      </c>
      <c r="G23" s="593">
        <v>342716</v>
      </c>
      <c r="I23" s="593">
        <v>342716</v>
      </c>
    </row>
    <row r="24" spans="2:24" ht="14.25" customHeight="1">
      <c r="B24" s="626"/>
      <c r="C24" s="626"/>
    </row>
    <row r="25" spans="2:24" ht="14.25" customHeight="1">
      <c r="B25" s="626" t="s">
        <v>701</v>
      </c>
      <c r="C25" s="626"/>
      <c r="E25" s="593">
        <v>6649</v>
      </c>
      <c r="I25" s="593">
        <v>6649</v>
      </c>
    </row>
    <row r="26" spans="2:24" ht="14.25" customHeight="1">
      <c r="B26" s="626"/>
      <c r="C26" s="626"/>
    </row>
    <row r="27" spans="2:24" ht="14.25" customHeight="1">
      <c r="B27" s="626" t="s">
        <v>702</v>
      </c>
      <c r="C27" s="626"/>
      <c r="E27" s="593">
        <v>69119</v>
      </c>
      <c r="G27" s="593">
        <v>64970</v>
      </c>
      <c r="I27" s="593">
        <v>64970</v>
      </c>
      <c r="Q27" s="627">
        <v>4149</v>
      </c>
      <c r="R27" s="627"/>
      <c r="T27" s="627">
        <v>4149</v>
      </c>
      <c r="U27" s="627"/>
      <c r="W27" s="627">
        <v>4149</v>
      </c>
      <c r="X27" s="627"/>
    </row>
    <row r="28" spans="2:24" ht="14.25" customHeight="1">
      <c r="B28" s="626"/>
      <c r="C28" s="626"/>
    </row>
    <row r="29" spans="2:24" ht="14.25" customHeight="1">
      <c r="B29" s="626" t="s">
        <v>703</v>
      </c>
      <c r="C29" s="626"/>
      <c r="E29" s="593">
        <v>14304</v>
      </c>
      <c r="G29" s="593">
        <v>14304</v>
      </c>
      <c r="I29" s="593">
        <v>14304</v>
      </c>
    </row>
    <row r="30" spans="2:24" ht="14.25" customHeight="1">
      <c r="B30" s="626"/>
      <c r="C30" s="626"/>
    </row>
    <row r="31" spans="2:24" ht="14.25" customHeight="1">
      <c r="B31" s="626" t="s">
        <v>704</v>
      </c>
      <c r="C31" s="626"/>
      <c r="E31" s="593">
        <v>84357</v>
      </c>
      <c r="G31" s="593">
        <v>84357</v>
      </c>
      <c r="I31" s="593">
        <v>84357</v>
      </c>
    </row>
    <row r="32" spans="2:24" ht="14.25" customHeight="1">
      <c r="B32" s="626"/>
      <c r="C32" s="626"/>
    </row>
    <row r="33" spans="2:24" ht="14.25" customHeight="1">
      <c r="B33" s="626" t="s">
        <v>705</v>
      </c>
      <c r="C33" s="626"/>
      <c r="E33" s="593">
        <v>860248</v>
      </c>
      <c r="G33" s="593">
        <v>785756</v>
      </c>
      <c r="I33" s="593">
        <v>785756</v>
      </c>
      <c r="Q33" s="627">
        <v>74492</v>
      </c>
      <c r="R33" s="627"/>
      <c r="T33" s="627">
        <v>74492</v>
      </c>
      <c r="U33" s="627"/>
      <c r="W33" s="627">
        <v>74492</v>
      </c>
      <c r="X33" s="627"/>
    </row>
    <row r="34" spans="2:24" ht="14.25" customHeight="1">
      <c r="B34" s="626"/>
      <c r="C34" s="626"/>
    </row>
    <row r="35" spans="2:24" ht="14.25" customHeight="1">
      <c r="B35" s="626" t="s">
        <v>706</v>
      </c>
      <c r="C35" s="626"/>
      <c r="E35" s="593">
        <v>139640</v>
      </c>
      <c r="G35" s="593">
        <v>127578</v>
      </c>
      <c r="I35" s="593">
        <v>127578</v>
      </c>
      <c r="Q35" s="627">
        <v>12062</v>
      </c>
      <c r="R35" s="627"/>
      <c r="T35" s="627">
        <v>12062</v>
      </c>
      <c r="U35" s="627"/>
      <c r="W35" s="627">
        <v>12062</v>
      </c>
      <c r="X35" s="627"/>
    </row>
    <row r="36" spans="2:24" ht="14.25" customHeight="1">
      <c r="B36" s="626"/>
      <c r="C36" s="626"/>
    </row>
    <row r="37" spans="2:24" ht="14.25" customHeight="1">
      <c r="B37" s="626" t="s">
        <v>707</v>
      </c>
      <c r="C37" s="626"/>
      <c r="E37" s="593">
        <v>40409</v>
      </c>
      <c r="G37" s="593">
        <v>40409</v>
      </c>
      <c r="I37" s="593">
        <v>40409</v>
      </c>
    </row>
    <row r="38" spans="2:24" ht="14.25" customHeight="1">
      <c r="B38" s="626"/>
      <c r="C38" s="626"/>
    </row>
    <row r="39" spans="2:24" ht="14.25" customHeight="1">
      <c r="B39" s="626" t="s">
        <v>708</v>
      </c>
      <c r="C39" s="626"/>
      <c r="E39" s="593">
        <v>12700</v>
      </c>
      <c r="G39" s="593">
        <v>12700</v>
      </c>
      <c r="I39" s="593">
        <v>12700</v>
      </c>
    </row>
    <row r="40" spans="2:24" ht="14.25" customHeight="1">
      <c r="B40" s="626"/>
      <c r="C40" s="626"/>
    </row>
    <row r="41" spans="2:24" ht="14.25" customHeight="1">
      <c r="B41" s="626" t="s">
        <v>709</v>
      </c>
      <c r="C41" s="626"/>
      <c r="E41" s="593">
        <v>57050</v>
      </c>
      <c r="G41" s="593">
        <v>57050</v>
      </c>
      <c r="I41" s="593">
        <v>57050</v>
      </c>
    </row>
    <row r="42" spans="2:24" ht="14.25" customHeight="1">
      <c r="B42" s="626"/>
      <c r="C42" s="626"/>
    </row>
    <row r="43" spans="2:24" ht="14.25" customHeight="1">
      <c r="B43" s="626" t="s">
        <v>710</v>
      </c>
      <c r="C43" s="626"/>
      <c r="E43" s="593">
        <v>154567</v>
      </c>
      <c r="G43" s="593">
        <v>154567</v>
      </c>
      <c r="I43" s="593">
        <v>154567</v>
      </c>
    </row>
    <row r="44" spans="2:24" ht="14.25" customHeight="1">
      <c r="B44" s="626"/>
      <c r="C44" s="626"/>
    </row>
    <row r="45" spans="2:24" ht="14.25" customHeight="1">
      <c r="B45" s="626" t="s">
        <v>711</v>
      </c>
      <c r="C45" s="626"/>
      <c r="E45" s="593">
        <v>108215</v>
      </c>
      <c r="G45" s="593">
        <v>108215</v>
      </c>
      <c r="I45" s="593">
        <v>108215</v>
      </c>
    </row>
    <row r="46" spans="2:24" ht="14.25" customHeight="1">
      <c r="B46" s="626"/>
      <c r="C46" s="626"/>
    </row>
    <row r="47" spans="2:24" ht="14.25" customHeight="1">
      <c r="B47" s="626" t="s">
        <v>712</v>
      </c>
      <c r="C47" s="626"/>
      <c r="E47" s="593">
        <v>24080</v>
      </c>
      <c r="G47" s="593">
        <v>24080</v>
      </c>
      <c r="I47" s="593">
        <v>24080</v>
      </c>
    </row>
    <row r="48" spans="2:24" ht="14.25" customHeight="1">
      <c r="B48" s="626"/>
      <c r="C48" s="626"/>
    </row>
    <row r="49" spans="2:24" ht="14.25" customHeight="1">
      <c r="B49" s="626" t="s">
        <v>713</v>
      </c>
      <c r="C49" s="626"/>
      <c r="E49" s="593">
        <v>60947</v>
      </c>
      <c r="G49" s="593">
        <v>57289</v>
      </c>
      <c r="I49" s="593">
        <v>58395</v>
      </c>
      <c r="Q49" s="627">
        <v>2552</v>
      </c>
      <c r="R49" s="627"/>
      <c r="T49" s="627">
        <v>2552</v>
      </c>
      <c r="U49" s="627"/>
      <c r="W49" s="627">
        <v>2552</v>
      </c>
      <c r="X49" s="627"/>
    </row>
    <row r="50" spans="2:24" ht="14.25" customHeight="1">
      <c r="B50" s="626"/>
      <c r="C50" s="626"/>
    </row>
    <row r="51" spans="2:24" ht="14.25" customHeight="1">
      <c r="B51" s="626" t="s">
        <v>714</v>
      </c>
      <c r="C51" s="626"/>
      <c r="E51" s="593">
        <v>9800</v>
      </c>
      <c r="G51" s="593">
        <v>9352</v>
      </c>
      <c r="I51" s="593">
        <v>9538</v>
      </c>
      <c r="Q51" s="627">
        <v>262</v>
      </c>
      <c r="R51" s="627"/>
      <c r="T51" s="627">
        <v>262</v>
      </c>
      <c r="U51" s="627"/>
      <c r="W51" s="627">
        <v>262</v>
      </c>
      <c r="X51" s="627"/>
    </row>
    <row r="52" spans="2:24" ht="14.25" customHeight="1">
      <c r="B52" s="626"/>
      <c r="C52" s="626"/>
    </row>
    <row r="53" spans="2:24" ht="14.25" customHeight="1">
      <c r="B53" s="626" t="s">
        <v>715</v>
      </c>
      <c r="C53" s="626"/>
      <c r="E53" s="593">
        <v>9000</v>
      </c>
      <c r="G53" s="593">
        <v>8670</v>
      </c>
      <c r="I53" s="593">
        <v>8841</v>
      </c>
      <c r="Q53" s="627">
        <v>159</v>
      </c>
      <c r="R53" s="627"/>
      <c r="T53" s="627">
        <v>159</v>
      </c>
      <c r="U53" s="627"/>
      <c r="W53" s="627">
        <v>159</v>
      </c>
      <c r="X53" s="627"/>
    </row>
    <row r="54" spans="2:24" ht="14.25" customHeight="1">
      <c r="B54" s="626"/>
      <c r="C54" s="626"/>
    </row>
    <row r="55" spans="2:24" ht="14.25" customHeight="1">
      <c r="B55" s="626" t="s">
        <v>716</v>
      </c>
      <c r="C55" s="626"/>
      <c r="E55" s="593">
        <v>9582</v>
      </c>
      <c r="G55" s="593">
        <v>8989</v>
      </c>
      <c r="I55" s="593">
        <v>9164</v>
      </c>
      <c r="Q55" s="627">
        <v>418</v>
      </c>
      <c r="R55" s="627"/>
      <c r="T55" s="627">
        <v>418</v>
      </c>
      <c r="U55" s="627"/>
      <c r="W55" s="627">
        <v>418</v>
      </c>
      <c r="X55" s="627"/>
    </row>
    <row r="56" spans="2:24" ht="14.25" customHeight="1">
      <c r="B56" s="626"/>
      <c r="C56" s="626"/>
    </row>
    <row r="57" spans="2:24" ht="14.25" customHeight="1">
      <c r="B57" s="626" t="s">
        <v>717</v>
      </c>
      <c r="C57" s="626"/>
      <c r="E57" s="593">
        <v>42681</v>
      </c>
      <c r="G57" s="593">
        <v>37635</v>
      </c>
      <c r="I57" s="593">
        <v>38411</v>
      </c>
      <c r="Q57" s="627">
        <v>4270</v>
      </c>
      <c r="R57" s="627"/>
      <c r="T57" s="627">
        <v>4270</v>
      </c>
      <c r="U57" s="627"/>
      <c r="W57" s="627">
        <v>4270</v>
      </c>
      <c r="X57" s="627"/>
    </row>
    <row r="58" spans="2:24" ht="14.25" customHeight="1">
      <c r="B58" s="626"/>
      <c r="C58" s="626"/>
    </row>
    <row r="59" spans="2:24" ht="14.25" customHeight="1">
      <c r="B59" s="626" t="s">
        <v>718</v>
      </c>
      <c r="C59" s="626"/>
      <c r="E59" s="593">
        <v>26642</v>
      </c>
      <c r="G59" s="593">
        <v>25110</v>
      </c>
      <c r="I59" s="593">
        <v>25622</v>
      </c>
      <c r="Q59" s="627">
        <v>1020</v>
      </c>
      <c r="R59" s="627"/>
      <c r="T59" s="627">
        <v>1020</v>
      </c>
      <c r="U59" s="627"/>
      <c r="W59" s="627">
        <v>1020</v>
      </c>
      <c r="X59" s="627"/>
    </row>
    <row r="60" spans="2:24" ht="14.25" customHeight="1">
      <c r="B60" s="626"/>
      <c r="C60" s="626"/>
    </row>
    <row r="61" spans="2:24" ht="14.25" customHeight="1">
      <c r="B61" s="626" t="s">
        <v>719</v>
      </c>
      <c r="C61" s="626"/>
      <c r="E61" s="593">
        <v>43338</v>
      </c>
      <c r="G61" s="593">
        <v>41861</v>
      </c>
      <c r="I61" s="593">
        <v>42696</v>
      </c>
      <c r="Q61" s="627">
        <v>642</v>
      </c>
      <c r="R61" s="627"/>
      <c r="T61" s="627">
        <v>642</v>
      </c>
      <c r="U61" s="627"/>
      <c r="W61" s="627">
        <v>642</v>
      </c>
      <c r="X61" s="627"/>
    </row>
    <row r="62" spans="2:24" ht="14.25" customHeight="1">
      <c r="B62" s="626"/>
      <c r="C62" s="626"/>
    </row>
    <row r="63" spans="2:24" ht="14.25" customHeight="1">
      <c r="B63" s="626" t="s">
        <v>720</v>
      </c>
      <c r="C63" s="626"/>
      <c r="E63" s="593">
        <v>392876</v>
      </c>
      <c r="G63" s="593">
        <v>257106</v>
      </c>
      <c r="I63" s="593">
        <v>322534</v>
      </c>
      <c r="Q63" s="627">
        <v>70342</v>
      </c>
      <c r="R63" s="627"/>
      <c r="T63" s="627">
        <v>70342</v>
      </c>
      <c r="U63" s="627"/>
      <c r="W63" s="627">
        <v>70342</v>
      </c>
      <c r="X63" s="627"/>
    </row>
    <row r="64" spans="2:24" ht="14.25" customHeight="1">
      <c r="B64" s="626"/>
      <c r="C64" s="626"/>
    </row>
    <row r="65" spans="2:24" ht="14.25" customHeight="1">
      <c r="B65" s="626" t="s">
        <v>721</v>
      </c>
      <c r="C65" s="626"/>
      <c r="E65" s="593">
        <v>4500</v>
      </c>
      <c r="G65" s="593">
        <v>4500</v>
      </c>
      <c r="I65" s="593">
        <v>4500</v>
      </c>
    </row>
    <row r="66" spans="2:24" ht="14.25" customHeight="1">
      <c r="B66" s="626"/>
      <c r="C66" s="626"/>
    </row>
    <row r="67" spans="2:24" ht="14.25" customHeight="1">
      <c r="B67" s="626" t="s">
        <v>722</v>
      </c>
      <c r="C67" s="626"/>
      <c r="E67" s="593">
        <v>1620872</v>
      </c>
      <c r="G67" s="593">
        <v>1445081</v>
      </c>
      <c r="I67" s="593">
        <v>1530822</v>
      </c>
      <c r="Q67" s="627">
        <v>90050</v>
      </c>
      <c r="R67" s="627"/>
      <c r="T67" s="627">
        <v>90050</v>
      </c>
      <c r="U67" s="627"/>
      <c r="W67" s="627">
        <v>90050</v>
      </c>
      <c r="X67" s="627"/>
    </row>
    <row r="68" spans="2:24" ht="14.25" customHeight="1">
      <c r="B68" s="626"/>
      <c r="C68" s="626"/>
    </row>
    <row r="69" spans="2:24" ht="14.25" customHeight="1">
      <c r="B69" s="626" t="s">
        <v>723</v>
      </c>
      <c r="C69" s="626"/>
      <c r="E69" s="593">
        <v>172106</v>
      </c>
      <c r="G69" s="593">
        <v>80637</v>
      </c>
      <c r="I69" s="593">
        <v>80637</v>
      </c>
      <c r="Q69" s="627">
        <v>91469</v>
      </c>
      <c r="R69" s="627"/>
      <c r="T69" s="627">
        <v>91469</v>
      </c>
      <c r="U69" s="627"/>
      <c r="W69" s="627">
        <v>91469</v>
      </c>
      <c r="X69" s="627"/>
    </row>
    <row r="70" spans="2:24" ht="14.25" customHeight="1">
      <c r="B70" s="626"/>
      <c r="C70" s="626"/>
    </row>
    <row r="71" spans="2:24" ht="14.25" customHeight="1">
      <c r="B71" s="626" t="s">
        <v>724</v>
      </c>
      <c r="C71" s="626"/>
      <c r="E71" s="593">
        <v>79232</v>
      </c>
      <c r="G71" s="593">
        <v>36845</v>
      </c>
      <c r="I71" s="593">
        <v>37598</v>
      </c>
      <c r="Q71" s="627">
        <v>41634</v>
      </c>
      <c r="R71" s="627"/>
      <c r="T71" s="627">
        <v>41634</v>
      </c>
      <c r="U71" s="627"/>
      <c r="W71" s="627">
        <v>41634</v>
      </c>
      <c r="X71" s="627"/>
    </row>
    <row r="72" spans="2:24" ht="14.25" customHeight="1">
      <c r="B72" s="626"/>
      <c r="C72" s="626"/>
    </row>
    <row r="73" spans="2:24" ht="14.25" customHeight="1">
      <c r="B73" s="626" t="s">
        <v>725</v>
      </c>
      <c r="C73" s="626"/>
      <c r="E73" s="593">
        <v>371479</v>
      </c>
      <c r="G73" s="593">
        <v>159198</v>
      </c>
      <c r="I73" s="593">
        <v>330285</v>
      </c>
      <c r="M73" s="632">
        <v>31549</v>
      </c>
      <c r="N73" s="632"/>
      <c r="O73" s="632"/>
      <c r="Q73" s="627">
        <v>41194</v>
      </c>
      <c r="R73" s="627"/>
      <c r="T73" s="627">
        <v>41194</v>
      </c>
      <c r="U73" s="627"/>
      <c r="W73" s="627">
        <v>9645</v>
      </c>
      <c r="X73" s="627"/>
    </row>
    <row r="74" spans="2:24" ht="14.25" customHeight="1">
      <c r="B74" s="626"/>
      <c r="C74" s="626"/>
    </row>
    <row r="75" spans="2:24" ht="14.25" customHeight="1">
      <c r="B75" s="626" t="s">
        <v>726</v>
      </c>
      <c r="C75" s="626"/>
      <c r="E75" s="593">
        <v>149104</v>
      </c>
      <c r="G75" s="593">
        <v>52944</v>
      </c>
      <c r="I75" s="593">
        <v>148419</v>
      </c>
      <c r="Q75" s="627">
        <v>685</v>
      </c>
      <c r="R75" s="627"/>
      <c r="T75" s="627">
        <v>685</v>
      </c>
      <c r="U75" s="627"/>
      <c r="W75" s="627">
        <v>685</v>
      </c>
      <c r="X75" s="627"/>
    </row>
    <row r="76" spans="2:24" ht="14.25" customHeight="1">
      <c r="B76" s="626"/>
      <c r="C76" s="626"/>
    </row>
    <row r="77" spans="2:24" ht="14.25" customHeight="1">
      <c r="B77" s="626" t="s">
        <v>727</v>
      </c>
      <c r="C77" s="626"/>
      <c r="E77" s="593">
        <v>1979243</v>
      </c>
      <c r="G77" s="593">
        <v>1979243</v>
      </c>
      <c r="I77" s="593">
        <v>1979243</v>
      </c>
    </row>
    <row r="78" spans="2:24" ht="14.25" customHeight="1">
      <c r="B78" s="626"/>
      <c r="C78" s="626"/>
    </row>
    <row r="79" spans="2:24" ht="14.25" customHeight="1">
      <c r="B79" s="626" t="s">
        <v>728</v>
      </c>
      <c r="C79" s="626"/>
      <c r="E79" s="593">
        <v>306950</v>
      </c>
      <c r="G79" s="593">
        <v>306950</v>
      </c>
      <c r="I79" s="593">
        <v>306950</v>
      </c>
    </row>
    <row r="80" spans="2:24" ht="14.25" customHeight="1">
      <c r="B80" s="626"/>
      <c r="C80" s="626"/>
    </row>
    <row r="81" spans="2:25" ht="14.25" customHeight="1">
      <c r="B81" s="626"/>
      <c r="C81" s="626"/>
    </row>
    <row r="82" spans="2:25" ht="14.25" customHeight="1">
      <c r="B82" s="626" t="s">
        <v>729</v>
      </c>
      <c r="C82" s="626"/>
      <c r="E82" s="593">
        <v>2770</v>
      </c>
      <c r="Q82" s="627">
        <v>2770</v>
      </c>
      <c r="R82" s="627"/>
      <c r="T82" s="627">
        <v>2770</v>
      </c>
      <c r="U82" s="627"/>
      <c r="W82" s="627">
        <v>2770</v>
      </c>
      <c r="X82" s="627"/>
    </row>
    <row r="83" spans="2:25" ht="14.25" customHeight="1">
      <c r="B83" s="626"/>
      <c r="C83" s="626"/>
    </row>
    <row r="84" spans="2:25" ht="14.25" customHeight="1">
      <c r="B84" s="626" t="s">
        <v>730</v>
      </c>
      <c r="C84" s="626"/>
      <c r="E84" s="593">
        <v>9370</v>
      </c>
      <c r="G84" s="593">
        <v>5923</v>
      </c>
      <c r="I84" s="593">
        <v>5923</v>
      </c>
      <c r="Q84" s="627">
        <v>3447</v>
      </c>
      <c r="R84" s="627"/>
      <c r="T84" s="627">
        <v>3447</v>
      </c>
      <c r="U84" s="627"/>
      <c r="W84" s="627">
        <v>3447</v>
      </c>
      <c r="X84" s="627"/>
    </row>
    <row r="85" spans="2:25" ht="14.25" customHeight="1">
      <c r="B85" s="626"/>
      <c r="C85" s="626"/>
    </row>
    <row r="86" spans="2:25" ht="14.25" customHeight="1">
      <c r="B86" s="626" t="s">
        <v>731</v>
      </c>
      <c r="C86" s="626"/>
      <c r="E86" s="593">
        <v>1372</v>
      </c>
      <c r="G86" s="593">
        <v>847</v>
      </c>
      <c r="I86" s="593">
        <v>847</v>
      </c>
      <c r="Q86" s="627">
        <v>525</v>
      </c>
      <c r="R86" s="627"/>
      <c r="T86" s="627">
        <v>525</v>
      </c>
      <c r="U86" s="627"/>
      <c r="W86" s="627">
        <v>525</v>
      </c>
      <c r="X86" s="627"/>
    </row>
    <row r="87" spans="2:25" ht="14.25" customHeight="1">
      <c r="B87" s="626"/>
      <c r="C87" s="626"/>
    </row>
    <row r="88" spans="2:25" s="598" customFormat="1" ht="14.25" customHeight="1">
      <c r="B88" s="631" t="s">
        <v>732</v>
      </c>
      <c r="C88" s="631"/>
      <c r="E88" s="599">
        <v>98</v>
      </c>
      <c r="Q88" s="635">
        <v>98</v>
      </c>
      <c r="R88" s="635"/>
      <c r="T88" s="635">
        <v>98</v>
      </c>
      <c r="U88" s="635"/>
      <c r="W88" s="635">
        <v>98</v>
      </c>
      <c r="X88" s="635"/>
    </row>
    <row r="89" spans="2:25" s="598" customFormat="1" ht="14.25" customHeight="1">
      <c r="B89" s="631"/>
      <c r="C89" s="631"/>
      <c r="Y89" s="604">
        <f>SUM(Q88:R89,Q118:R119)</f>
        <v>98</v>
      </c>
    </row>
    <row r="90" spans="2:25" ht="14.25" customHeight="1">
      <c r="B90" s="626" t="s">
        <v>733</v>
      </c>
      <c r="C90" s="626"/>
      <c r="E90" s="593">
        <v>18136</v>
      </c>
      <c r="G90" s="593">
        <v>1000</v>
      </c>
      <c r="I90" s="593">
        <v>1000</v>
      </c>
      <c r="Q90" s="627">
        <v>17136</v>
      </c>
      <c r="R90" s="627"/>
      <c r="T90" s="627">
        <v>17136</v>
      </c>
      <c r="U90" s="627"/>
      <c r="W90" s="627">
        <v>17136</v>
      </c>
      <c r="X90" s="627"/>
    </row>
    <row r="91" spans="2:25" ht="14.25" customHeight="1">
      <c r="B91" s="626"/>
      <c r="C91" s="626"/>
    </row>
    <row r="92" spans="2:25" ht="14.25" customHeight="1">
      <c r="B92" s="626"/>
      <c r="C92" s="626"/>
    </row>
    <row r="93" spans="2:25" s="600" customFormat="1" ht="14.25" customHeight="1">
      <c r="B93" s="633" t="s">
        <v>734</v>
      </c>
      <c r="C93" s="633"/>
      <c r="E93" s="601">
        <v>1887318</v>
      </c>
      <c r="G93" s="601">
        <v>1080885</v>
      </c>
      <c r="I93" s="601">
        <v>1080885</v>
      </c>
      <c r="Q93" s="634">
        <v>806433</v>
      </c>
      <c r="R93" s="634"/>
      <c r="T93" s="634">
        <v>806433</v>
      </c>
      <c r="U93" s="634"/>
      <c r="W93" s="634">
        <v>806433</v>
      </c>
      <c r="X93" s="634"/>
    </row>
    <row r="94" spans="2:25" s="600" customFormat="1" ht="14.25" customHeight="1">
      <c r="B94" s="633"/>
      <c r="C94" s="633"/>
      <c r="Y94" s="605">
        <f>SUM(Q93:R94)</f>
        <v>806433</v>
      </c>
    </row>
    <row r="95" spans="2:25" s="602" customFormat="1" ht="14.25" customHeight="1">
      <c r="B95" s="629" t="s">
        <v>735</v>
      </c>
      <c r="C95" s="629"/>
      <c r="E95" s="603">
        <v>608691</v>
      </c>
      <c r="G95" s="603">
        <v>22895</v>
      </c>
      <c r="I95" s="603">
        <v>22895</v>
      </c>
      <c r="Q95" s="630">
        <v>585796</v>
      </c>
      <c r="R95" s="630"/>
      <c r="T95" s="630">
        <v>585796</v>
      </c>
      <c r="U95" s="630"/>
      <c r="W95" s="630">
        <v>585796</v>
      </c>
      <c r="X95" s="630"/>
    </row>
    <row r="96" spans="2:25" s="602" customFormat="1" ht="14.25" customHeight="1">
      <c r="B96" s="629"/>
      <c r="C96" s="629"/>
    </row>
    <row r="97" spans="2:24" s="602" customFormat="1" ht="14.25" customHeight="1">
      <c r="B97" s="629" t="s">
        <v>736</v>
      </c>
      <c r="C97" s="629"/>
      <c r="E97" s="603">
        <v>800000</v>
      </c>
      <c r="Q97" s="630">
        <v>800000</v>
      </c>
      <c r="R97" s="630"/>
      <c r="T97" s="630">
        <v>800000</v>
      </c>
      <c r="U97" s="630"/>
      <c r="W97" s="630">
        <v>800000</v>
      </c>
      <c r="X97" s="630"/>
    </row>
    <row r="98" spans="2:24" s="602" customFormat="1" ht="14.25" customHeight="1">
      <c r="B98" s="629"/>
      <c r="C98" s="629"/>
    </row>
    <row r="99" spans="2:24" s="602" customFormat="1" ht="14.25" customHeight="1">
      <c r="B99" s="629" t="s">
        <v>737</v>
      </c>
      <c r="C99" s="629"/>
      <c r="E99" s="603">
        <v>60000</v>
      </c>
      <c r="G99" s="603">
        <v>60000</v>
      </c>
      <c r="I99" s="603">
        <v>60000</v>
      </c>
    </row>
    <row r="100" spans="2:24" s="602" customFormat="1" ht="14.25" customHeight="1">
      <c r="B100" s="629"/>
      <c r="C100" s="629"/>
    </row>
    <row r="101" spans="2:24" s="602" customFormat="1" ht="14.25" customHeight="1">
      <c r="B101" s="629" t="s">
        <v>738</v>
      </c>
      <c r="C101" s="629"/>
      <c r="E101" s="603">
        <v>147639</v>
      </c>
      <c r="G101" s="603">
        <v>10000</v>
      </c>
      <c r="I101" s="603">
        <v>10000</v>
      </c>
      <c r="Q101" s="630">
        <v>137639</v>
      </c>
      <c r="R101" s="630"/>
      <c r="T101" s="630">
        <v>137639</v>
      </c>
      <c r="U101" s="630"/>
      <c r="W101" s="630">
        <v>137639</v>
      </c>
      <c r="X101" s="630"/>
    </row>
    <row r="102" spans="2:24" s="602" customFormat="1" ht="14.25" customHeight="1">
      <c r="B102" s="629"/>
      <c r="C102" s="629"/>
    </row>
    <row r="103" spans="2:24" s="602" customFormat="1" ht="14.25" customHeight="1">
      <c r="B103" s="629" t="s">
        <v>739</v>
      </c>
      <c r="C103" s="629"/>
      <c r="E103" s="603">
        <v>300000</v>
      </c>
      <c r="Q103" s="630">
        <v>300000</v>
      </c>
      <c r="R103" s="630"/>
      <c r="T103" s="630">
        <v>300000</v>
      </c>
      <c r="U103" s="630"/>
      <c r="W103" s="630">
        <v>300000</v>
      </c>
      <c r="X103" s="630"/>
    </row>
    <row r="104" spans="2:24" s="602" customFormat="1" ht="14.25" customHeight="1">
      <c r="B104" s="629"/>
      <c r="C104" s="629"/>
    </row>
    <row r="105" spans="2:24" s="602" customFormat="1" ht="14.25" customHeight="1">
      <c r="B105" s="629"/>
      <c r="C105" s="629"/>
    </row>
    <row r="106" spans="2:24" s="602" customFormat="1" ht="14.25" customHeight="1">
      <c r="B106" s="629" t="s">
        <v>740</v>
      </c>
      <c r="C106" s="629"/>
      <c r="E106" s="603">
        <v>91209</v>
      </c>
      <c r="G106" s="603">
        <v>20000</v>
      </c>
      <c r="I106" s="603">
        <v>20000</v>
      </c>
      <c r="Q106" s="630">
        <v>71209</v>
      </c>
      <c r="R106" s="630"/>
      <c r="T106" s="630">
        <v>71209</v>
      </c>
      <c r="U106" s="630"/>
      <c r="W106" s="630">
        <v>71209</v>
      </c>
      <c r="X106" s="630"/>
    </row>
    <row r="107" spans="2:24" s="602" customFormat="1" ht="14.25" customHeight="1">
      <c r="B107" s="629"/>
      <c r="C107" s="629"/>
    </row>
    <row r="108" spans="2:24" s="602" customFormat="1" ht="14.25" customHeight="1">
      <c r="B108" s="629" t="s">
        <v>741</v>
      </c>
      <c r="C108" s="629"/>
      <c r="E108" s="603">
        <v>800000</v>
      </c>
      <c r="Q108" s="630">
        <v>800000</v>
      </c>
      <c r="R108" s="630"/>
      <c r="T108" s="630">
        <v>800000</v>
      </c>
      <c r="U108" s="630"/>
      <c r="W108" s="630">
        <v>800000</v>
      </c>
      <c r="X108" s="630"/>
    </row>
    <row r="109" spans="2:24" s="602" customFormat="1" ht="14.25" customHeight="1">
      <c r="B109" s="629"/>
      <c r="C109" s="629"/>
    </row>
    <row r="110" spans="2:24" s="602" customFormat="1" ht="14.25" customHeight="1">
      <c r="B110" s="629"/>
      <c r="C110" s="629"/>
    </row>
    <row r="111" spans="2:24" s="602" customFormat="1" ht="14.25" customHeight="1">
      <c r="B111" s="629" t="s">
        <v>742</v>
      </c>
      <c r="C111" s="629"/>
      <c r="E111" s="603">
        <v>26000</v>
      </c>
      <c r="G111" s="603">
        <v>23000</v>
      </c>
      <c r="I111" s="603">
        <v>23000</v>
      </c>
      <c r="Q111" s="630">
        <v>3000</v>
      </c>
      <c r="R111" s="630"/>
      <c r="T111" s="630">
        <v>3000</v>
      </c>
      <c r="U111" s="630"/>
      <c r="W111" s="630">
        <v>3000</v>
      </c>
      <c r="X111" s="630"/>
    </row>
    <row r="112" spans="2:24" s="602" customFormat="1" ht="14.25" customHeight="1">
      <c r="B112" s="629"/>
      <c r="C112" s="629"/>
    </row>
    <row r="113" spans="2:26" s="602" customFormat="1" ht="14.25" customHeight="1">
      <c r="B113" s="629"/>
      <c r="C113" s="629"/>
    </row>
    <row r="114" spans="2:26" s="602" customFormat="1" ht="14.25" customHeight="1">
      <c r="B114" s="629" t="s">
        <v>743</v>
      </c>
      <c r="C114" s="629"/>
      <c r="E114" s="603">
        <v>102034</v>
      </c>
      <c r="G114" s="603">
        <v>1300</v>
      </c>
      <c r="I114" s="603">
        <v>1300</v>
      </c>
      <c r="Q114" s="630">
        <v>100734</v>
      </c>
      <c r="R114" s="630"/>
      <c r="T114" s="630">
        <v>100734</v>
      </c>
      <c r="U114" s="630"/>
      <c r="W114" s="630">
        <v>100734</v>
      </c>
      <c r="X114" s="630"/>
    </row>
    <row r="115" spans="2:26" s="602" customFormat="1" ht="14.25" customHeight="1">
      <c r="B115" s="629"/>
      <c r="C115" s="629"/>
    </row>
    <row r="116" spans="2:26" s="602" customFormat="1" ht="14.25" customHeight="1">
      <c r="B116" s="629" t="s">
        <v>744</v>
      </c>
      <c r="C116" s="629"/>
      <c r="E116" s="603">
        <v>18800</v>
      </c>
      <c r="Q116" s="630">
        <v>18800</v>
      </c>
      <c r="R116" s="630"/>
      <c r="T116" s="630">
        <v>18800</v>
      </c>
      <c r="U116" s="630"/>
      <c r="W116" s="630">
        <v>18800</v>
      </c>
      <c r="X116" s="630"/>
    </row>
    <row r="117" spans="2:26" s="602" customFormat="1" ht="14.25" customHeight="1">
      <c r="B117" s="629"/>
      <c r="C117" s="629"/>
      <c r="Y117" s="606">
        <f>SUM(Q95:R117)-Z117</f>
        <v>917178</v>
      </c>
      <c r="Z117" s="606">
        <f>Q97+Q103+Q108</f>
        <v>1900000</v>
      </c>
    </row>
    <row r="118" spans="2:26" s="598" customFormat="1" ht="14.25" customHeight="1">
      <c r="B118" s="631" t="s">
        <v>745</v>
      </c>
      <c r="C118" s="631"/>
      <c r="E118" s="599">
        <v>348858</v>
      </c>
      <c r="G118" s="599">
        <v>348858</v>
      </c>
      <c r="I118" s="599">
        <v>348858</v>
      </c>
    </row>
    <row r="119" spans="2:26" s="598" customFormat="1" ht="14.25" customHeight="1">
      <c r="B119" s="631"/>
      <c r="C119" s="631"/>
    </row>
    <row r="120" spans="2:26" ht="14.25" customHeight="1">
      <c r="B120" s="626" t="s">
        <v>746</v>
      </c>
      <c r="C120" s="626"/>
      <c r="E120" s="593">
        <v>65420</v>
      </c>
      <c r="G120" s="593">
        <v>57693</v>
      </c>
      <c r="I120" s="593">
        <v>45957</v>
      </c>
      <c r="M120" s="632">
        <v>11736</v>
      </c>
      <c r="N120" s="632"/>
      <c r="O120" s="632"/>
      <c r="Q120" s="627">
        <v>19463</v>
      </c>
      <c r="R120" s="627"/>
      <c r="T120" s="627">
        <v>19463</v>
      </c>
      <c r="U120" s="627"/>
      <c r="W120" s="627">
        <v>7727</v>
      </c>
      <c r="X120" s="627"/>
    </row>
    <row r="121" spans="2:26" ht="14.25" customHeight="1">
      <c r="B121" s="626"/>
      <c r="C121" s="626"/>
    </row>
    <row r="122" spans="2:26" ht="14.25" customHeight="1">
      <c r="B122" s="626"/>
      <c r="C122" s="626"/>
    </row>
    <row r="123" spans="2:26" ht="14.25" customHeight="1">
      <c r="B123" s="626" t="s">
        <v>747</v>
      </c>
      <c r="C123" s="626"/>
      <c r="E123" s="593">
        <v>532255</v>
      </c>
      <c r="I123" s="593">
        <v>123577</v>
      </c>
      <c r="Q123" s="627">
        <v>408678</v>
      </c>
      <c r="R123" s="627"/>
      <c r="T123" s="627">
        <v>408678</v>
      </c>
      <c r="U123" s="627"/>
      <c r="W123" s="627">
        <v>408678</v>
      </c>
      <c r="X123" s="627"/>
    </row>
    <row r="124" spans="2:26" ht="14.25" customHeight="1">
      <c r="B124" s="626"/>
      <c r="C124" s="626"/>
    </row>
    <row r="125" spans="2:26" ht="14.25" customHeight="1">
      <c r="B125" s="626"/>
      <c r="C125" s="626"/>
    </row>
    <row r="126" spans="2:26" ht="14.25" customHeight="1">
      <c r="B126" s="626" t="s">
        <v>748</v>
      </c>
      <c r="C126" s="626"/>
      <c r="E126" s="593">
        <v>587</v>
      </c>
      <c r="Q126" s="627">
        <v>587</v>
      </c>
      <c r="R126" s="627"/>
      <c r="T126" s="627">
        <v>587</v>
      </c>
      <c r="U126" s="627"/>
      <c r="W126" s="627">
        <v>587</v>
      </c>
      <c r="X126" s="627"/>
    </row>
    <row r="127" spans="2:26" ht="14.25" customHeight="1">
      <c r="B127" s="626"/>
      <c r="C127" s="626"/>
    </row>
    <row r="128" spans="2:26" ht="14.25" customHeight="1">
      <c r="B128" s="626"/>
      <c r="C128" s="626"/>
    </row>
    <row r="129" spans="2:24" ht="14.25" customHeight="1">
      <c r="B129" s="626" t="s">
        <v>749</v>
      </c>
      <c r="C129" s="626"/>
      <c r="E129" s="593">
        <v>20898</v>
      </c>
      <c r="Q129" s="627">
        <v>20898</v>
      </c>
      <c r="R129" s="627"/>
      <c r="T129" s="627">
        <v>20898</v>
      </c>
      <c r="U129" s="627"/>
      <c r="W129" s="627">
        <v>20898</v>
      </c>
      <c r="X129" s="627"/>
    </row>
    <row r="130" spans="2:24" ht="14.25" customHeight="1">
      <c r="B130" s="626"/>
      <c r="C130" s="626"/>
    </row>
    <row r="131" spans="2:24" ht="14.25" customHeight="1">
      <c r="B131" s="626"/>
      <c r="C131" s="626"/>
    </row>
    <row r="132" spans="2:24" ht="14.25" customHeight="1">
      <c r="B132" s="626" t="s">
        <v>750</v>
      </c>
      <c r="C132" s="626"/>
      <c r="E132" s="593">
        <v>20000</v>
      </c>
      <c r="G132" s="593">
        <v>20000</v>
      </c>
      <c r="I132" s="593">
        <v>20000</v>
      </c>
    </row>
    <row r="133" spans="2:24" ht="14.25" customHeight="1">
      <c r="B133" s="626"/>
      <c r="C133" s="626"/>
    </row>
    <row r="134" spans="2:24" ht="14.25" customHeight="1">
      <c r="B134" s="626" t="s">
        <v>751</v>
      </c>
      <c r="C134" s="626"/>
      <c r="E134" s="593">
        <v>1800000</v>
      </c>
      <c r="Q134" s="627">
        <v>1800000</v>
      </c>
      <c r="R134" s="627"/>
      <c r="T134" s="627">
        <v>1800000</v>
      </c>
      <c r="U134" s="627"/>
      <c r="W134" s="627">
        <v>1800000</v>
      </c>
      <c r="X134" s="627"/>
    </row>
    <row r="135" spans="2:24" ht="14.25" customHeight="1">
      <c r="B135" s="626"/>
      <c r="C135" s="626"/>
    </row>
    <row r="136" spans="2:24" ht="14.25" customHeight="1">
      <c r="B136" s="626"/>
      <c r="C136" s="626"/>
    </row>
    <row r="137" spans="2:24" ht="14.25" customHeight="1">
      <c r="B137" s="626" t="s">
        <v>752</v>
      </c>
      <c r="C137" s="626"/>
      <c r="E137" s="593">
        <v>10000</v>
      </c>
      <c r="Q137" s="627">
        <v>10000</v>
      </c>
      <c r="R137" s="627"/>
      <c r="T137" s="627">
        <v>10000</v>
      </c>
      <c r="U137" s="627"/>
      <c r="W137" s="627">
        <v>10000</v>
      </c>
      <c r="X137" s="627"/>
    </row>
    <row r="138" spans="2:24" ht="14.25" customHeight="1">
      <c r="B138" s="626"/>
      <c r="C138" s="626"/>
    </row>
    <row r="139" spans="2:24" ht="14.25" customHeight="1">
      <c r="B139" s="626"/>
      <c r="C139" s="626"/>
    </row>
    <row r="140" spans="2:24" ht="14.25" customHeight="1">
      <c r="B140" s="626" t="s">
        <v>753</v>
      </c>
      <c r="C140" s="626"/>
      <c r="E140" s="593">
        <v>10000</v>
      </c>
      <c r="G140" s="593">
        <v>10000</v>
      </c>
      <c r="I140" s="593">
        <v>10000</v>
      </c>
    </row>
    <row r="141" spans="2:24" ht="14.25" customHeight="1">
      <c r="B141" s="626"/>
      <c r="C141" s="626"/>
    </row>
    <row r="142" spans="2:24" ht="14.25" customHeight="1">
      <c r="B142" s="626"/>
      <c r="C142" s="626"/>
    </row>
    <row r="143" spans="2:24" ht="14.25" customHeight="1">
      <c r="B143" s="626" t="s">
        <v>754</v>
      </c>
      <c r="C143" s="626"/>
      <c r="E143" s="593">
        <v>10000</v>
      </c>
      <c r="G143" s="593">
        <v>10000</v>
      </c>
      <c r="I143" s="593">
        <v>10000</v>
      </c>
    </row>
    <row r="144" spans="2:24" ht="14.25" customHeight="1">
      <c r="B144" s="626"/>
      <c r="C144" s="626"/>
    </row>
    <row r="145" spans="2:24" ht="14.25" customHeight="1">
      <c r="B145" s="626"/>
      <c r="C145" s="626"/>
    </row>
    <row r="146" spans="2:24" ht="14.25" customHeight="1">
      <c r="B146" s="626" t="s">
        <v>755</v>
      </c>
      <c r="C146" s="626"/>
      <c r="E146" s="593">
        <v>20000</v>
      </c>
      <c r="G146" s="593">
        <v>20000</v>
      </c>
      <c r="I146" s="593">
        <v>20000</v>
      </c>
    </row>
    <row r="147" spans="2:24" ht="14.25" customHeight="1">
      <c r="B147" s="626"/>
      <c r="C147" s="626"/>
    </row>
    <row r="148" spans="2:24" ht="14.25" customHeight="1">
      <c r="B148" s="626"/>
      <c r="C148" s="626"/>
    </row>
    <row r="149" spans="2:24" ht="14.25" customHeight="1">
      <c r="B149" s="626" t="s">
        <v>756</v>
      </c>
      <c r="C149" s="626"/>
      <c r="E149" s="593">
        <v>20000</v>
      </c>
      <c r="Q149" s="627">
        <v>20000</v>
      </c>
      <c r="R149" s="627"/>
      <c r="T149" s="627">
        <v>20000</v>
      </c>
      <c r="U149" s="627"/>
      <c r="W149" s="627">
        <v>20000</v>
      </c>
      <c r="X149" s="627"/>
    </row>
    <row r="150" spans="2:24" ht="14.25" customHeight="1">
      <c r="B150" s="626"/>
      <c r="C150" s="626"/>
    </row>
    <row r="151" spans="2:24" ht="14.25" customHeight="1">
      <c r="B151" s="626"/>
      <c r="C151" s="626"/>
    </row>
    <row r="152" spans="2:24" ht="14.25" customHeight="1">
      <c r="B152" s="626" t="s">
        <v>757</v>
      </c>
      <c r="C152" s="626"/>
      <c r="E152" s="593">
        <v>20000</v>
      </c>
      <c r="G152" s="593">
        <v>20000</v>
      </c>
      <c r="I152" s="593">
        <v>20000</v>
      </c>
    </row>
    <row r="153" spans="2:24" ht="14.25" customHeight="1">
      <c r="B153" s="626"/>
      <c r="C153" s="626"/>
    </row>
    <row r="154" spans="2:24" ht="14.25" customHeight="1">
      <c r="B154" s="626"/>
      <c r="C154" s="626"/>
    </row>
    <row r="155" spans="2:24" ht="14.25" customHeight="1">
      <c r="B155" s="626" t="s">
        <v>758</v>
      </c>
      <c r="C155" s="626"/>
      <c r="E155" s="593">
        <v>7000</v>
      </c>
      <c r="I155" s="593">
        <v>7000</v>
      </c>
    </row>
    <row r="156" spans="2:24" ht="14.25" customHeight="1">
      <c r="B156" s="626"/>
      <c r="C156" s="626"/>
    </row>
    <row r="157" spans="2:24" ht="14.25" customHeight="1">
      <c r="B157" s="626"/>
      <c r="C157" s="626"/>
    </row>
    <row r="158" spans="2:24" ht="14.25" customHeight="1">
      <c r="B158" s="626" t="s">
        <v>759</v>
      </c>
      <c r="C158" s="626"/>
      <c r="E158" s="593">
        <v>20000</v>
      </c>
      <c r="Q158" s="627">
        <v>20000</v>
      </c>
      <c r="R158" s="627"/>
      <c r="T158" s="627">
        <v>20000</v>
      </c>
      <c r="U158" s="627"/>
      <c r="W158" s="627">
        <v>20000</v>
      </c>
      <c r="X158" s="627"/>
    </row>
    <row r="159" spans="2:24" ht="14.25" customHeight="1">
      <c r="B159" s="626"/>
      <c r="C159" s="626"/>
    </row>
    <row r="160" spans="2:24" ht="14.25" customHeight="1">
      <c r="B160" s="626"/>
      <c r="C160" s="626"/>
    </row>
    <row r="161" spans="2:24" ht="14.25" customHeight="1">
      <c r="B161" s="626" t="s">
        <v>760</v>
      </c>
      <c r="C161" s="626"/>
      <c r="E161" s="593">
        <v>1242</v>
      </c>
      <c r="Q161" s="627">
        <v>1242</v>
      </c>
      <c r="R161" s="627"/>
      <c r="T161" s="627">
        <v>1242</v>
      </c>
      <c r="U161" s="627"/>
      <c r="W161" s="627">
        <v>1242</v>
      </c>
      <c r="X161" s="627"/>
    </row>
    <row r="162" spans="2:24" ht="14.25" customHeight="1">
      <c r="B162" s="626"/>
      <c r="C162" s="626"/>
    </row>
    <row r="163" spans="2:24" ht="14.25" customHeight="1">
      <c r="B163" s="626"/>
      <c r="C163" s="626"/>
    </row>
    <row r="164" spans="2:24" ht="14.25" customHeight="1">
      <c r="B164" s="626" t="s">
        <v>761</v>
      </c>
      <c r="C164" s="626"/>
      <c r="E164" s="593">
        <v>15840</v>
      </c>
      <c r="Q164" s="627">
        <v>15840</v>
      </c>
      <c r="R164" s="627"/>
      <c r="T164" s="627">
        <v>15840</v>
      </c>
      <c r="U164" s="627"/>
      <c r="W164" s="627">
        <v>15840</v>
      </c>
      <c r="X164" s="627"/>
    </row>
    <row r="165" spans="2:24" ht="14.25" customHeight="1">
      <c r="B165" s="626"/>
      <c r="C165" s="626"/>
    </row>
    <row r="166" spans="2:24" ht="14.25" customHeight="1">
      <c r="B166" s="626"/>
      <c r="C166" s="626"/>
    </row>
    <row r="167" spans="2:24" ht="14.25" customHeight="1">
      <c r="B167" s="626" t="s">
        <v>762</v>
      </c>
      <c r="C167" s="626"/>
      <c r="E167" s="593">
        <v>77052</v>
      </c>
      <c r="G167" s="593">
        <v>59242</v>
      </c>
      <c r="I167" s="593">
        <v>59242</v>
      </c>
      <c r="Q167" s="627">
        <v>17810</v>
      </c>
      <c r="R167" s="627"/>
      <c r="T167" s="627">
        <v>17810</v>
      </c>
      <c r="U167" s="627"/>
      <c r="W167" s="627">
        <v>17810</v>
      </c>
      <c r="X167" s="627"/>
    </row>
    <row r="168" spans="2:24" ht="14.25" customHeight="1">
      <c r="B168" s="626"/>
      <c r="C168" s="626"/>
    </row>
    <row r="169" spans="2:24" ht="14.25" customHeight="1">
      <c r="B169" s="626"/>
      <c r="C169" s="626"/>
    </row>
    <row r="170" spans="2:24" ht="14.25" customHeight="1">
      <c r="B170" s="626" t="s">
        <v>763</v>
      </c>
      <c r="C170" s="626"/>
      <c r="E170" s="593">
        <v>7940</v>
      </c>
      <c r="Q170" s="627">
        <v>7940</v>
      </c>
      <c r="R170" s="627"/>
      <c r="T170" s="627">
        <v>7940</v>
      </c>
      <c r="U170" s="627"/>
      <c r="W170" s="627">
        <v>7940</v>
      </c>
      <c r="X170" s="627"/>
    </row>
    <row r="171" spans="2:24" ht="14.25" customHeight="1">
      <c r="B171" s="626"/>
      <c r="C171" s="626"/>
    </row>
    <row r="172" spans="2:24" ht="14.25" customHeight="1">
      <c r="B172" s="626"/>
      <c r="C172" s="626"/>
    </row>
    <row r="173" spans="2:24" ht="14.25" customHeight="1">
      <c r="B173" s="626" t="s">
        <v>764</v>
      </c>
      <c r="C173" s="626"/>
      <c r="E173" s="593">
        <v>78598</v>
      </c>
      <c r="Q173" s="627">
        <v>78598</v>
      </c>
      <c r="R173" s="627"/>
      <c r="T173" s="627">
        <v>78598</v>
      </c>
      <c r="U173" s="627"/>
      <c r="W173" s="627">
        <v>78598</v>
      </c>
      <c r="X173" s="627"/>
    </row>
    <row r="174" spans="2:24" ht="14.25" customHeight="1">
      <c r="B174" s="626"/>
      <c r="C174" s="626"/>
    </row>
    <row r="175" spans="2:24" ht="14.25" customHeight="1">
      <c r="B175" s="626"/>
      <c r="C175" s="626"/>
    </row>
    <row r="176" spans="2:24" ht="14.25" customHeight="1">
      <c r="B176" s="626" t="s">
        <v>765</v>
      </c>
      <c r="C176" s="626"/>
      <c r="E176" s="593">
        <v>1789232</v>
      </c>
      <c r="Q176" s="627">
        <v>1789232</v>
      </c>
      <c r="R176" s="627"/>
      <c r="T176" s="627">
        <v>1789232</v>
      </c>
      <c r="U176" s="627"/>
      <c r="W176" s="627">
        <v>1789232</v>
      </c>
      <c r="X176" s="627"/>
    </row>
    <row r="177" spans="2:24" ht="14.25" customHeight="1">
      <c r="B177" s="626"/>
      <c r="C177" s="626"/>
    </row>
    <row r="178" spans="2:24" ht="14.25" customHeight="1">
      <c r="B178" s="626"/>
      <c r="C178" s="626"/>
    </row>
    <row r="179" spans="2:24" ht="14.25" customHeight="1">
      <c r="B179" s="626" t="s">
        <v>766</v>
      </c>
      <c r="C179" s="626"/>
      <c r="E179" s="593">
        <v>18300</v>
      </c>
      <c r="Q179" s="627">
        <v>18300</v>
      </c>
      <c r="R179" s="627"/>
      <c r="T179" s="627">
        <v>18300</v>
      </c>
      <c r="U179" s="627"/>
      <c r="W179" s="627">
        <v>18300</v>
      </c>
      <c r="X179" s="627"/>
    </row>
    <row r="180" spans="2:24" ht="14.25" customHeight="1">
      <c r="B180" s="626"/>
      <c r="C180" s="626"/>
    </row>
    <row r="181" spans="2:24" ht="14.25" customHeight="1">
      <c r="B181" s="626"/>
      <c r="C181" s="626"/>
    </row>
    <row r="182" spans="2:24" ht="14.25" customHeight="1">
      <c r="B182" s="626" t="s">
        <v>767</v>
      </c>
      <c r="C182" s="626"/>
      <c r="E182" s="593">
        <v>7000</v>
      </c>
      <c r="Q182" s="627">
        <v>7000</v>
      </c>
      <c r="R182" s="627"/>
      <c r="T182" s="627">
        <v>7000</v>
      </c>
      <c r="U182" s="627"/>
      <c r="W182" s="627">
        <v>7000</v>
      </c>
      <c r="X182" s="627"/>
    </row>
    <row r="183" spans="2:24" ht="14.25" customHeight="1">
      <c r="B183" s="626"/>
      <c r="C183" s="626"/>
    </row>
    <row r="184" spans="2:24" ht="14.25" customHeight="1">
      <c r="B184" s="626"/>
      <c r="C184" s="626"/>
    </row>
    <row r="185" spans="2:24" ht="12" customHeight="1">
      <c r="B185" s="594" t="s">
        <v>768</v>
      </c>
      <c r="E185" s="595">
        <v>20373396</v>
      </c>
      <c r="G185" s="595">
        <v>11498925</v>
      </c>
      <c r="I185" s="595">
        <v>12046660</v>
      </c>
      <c r="M185" s="628">
        <v>43285</v>
      </c>
      <c r="N185" s="628"/>
      <c r="O185" s="628"/>
      <c r="Q185" s="628">
        <v>8326736</v>
      </c>
      <c r="R185" s="628"/>
      <c r="T185" s="628">
        <v>8326736</v>
      </c>
      <c r="U185" s="628"/>
      <c r="W185" s="628">
        <v>8283451</v>
      </c>
      <c r="X185" s="628"/>
    </row>
    <row r="186" spans="2:24" ht="234.75" customHeight="1"/>
  </sheetData>
  <mergeCells count="240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B21:C22"/>
    <mergeCell ref="B23:C24"/>
    <mergeCell ref="B25:C26"/>
    <mergeCell ref="B27:C28"/>
    <mergeCell ref="Q27:R27"/>
    <mergeCell ref="T27:U27"/>
    <mergeCell ref="B15:C16"/>
    <mergeCell ref="B17:C18"/>
    <mergeCell ref="B19:C20"/>
    <mergeCell ref="Q19:R19"/>
    <mergeCell ref="T19:U19"/>
    <mergeCell ref="W35:X35"/>
    <mergeCell ref="B37:C38"/>
    <mergeCell ref="B39:C40"/>
    <mergeCell ref="W27:X27"/>
    <mergeCell ref="B29:C30"/>
    <mergeCell ref="B31:C32"/>
    <mergeCell ref="B33:C34"/>
    <mergeCell ref="Q33:R33"/>
    <mergeCell ref="T33:U33"/>
    <mergeCell ref="W33:X33"/>
    <mergeCell ref="B41:C42"/>
    <mergeCell ref="B43:C44"/>
    <mergeCell ref="B45:C46"/>
    <mergeCell ref="B47:C48"/>
    <mergeCell ref="B49:C50"/>
    <mergeCell ref="Q49:R49"/>
    <mergeCell ref="B35:C36"/>
    <mergeCell ref="Q35:R35"/>
    <mergeCell ref="T35:U35"/>
    <mergeCell ref="B53:C54"/>
    <mergeCell ref="Q53:R53"/>
    <mergeCell ref="T53:U53"/>
    <mergeCell ref="W53:X53"/>
    <mergeCell ref="B55:C56"/>
    <mergeCell ref="Q55:R55"/>
    <mergeCell ref="T55:U55"/>
    <mergeCell ref="W55:X55"/>
    <mergeCell ref="T49:U49"/>
    <mergeCell ref="W49:X49"/>
    <mergeCell ref="B51:C52"/>
    <mergeCell ref="Q51:R51"/>
    <mergeCell ref="T51:U51"/>
    <mergeCell ref="W51:X51"/>
    <mergeCell ref="B61:C62"/>
    <mergeCell ref="Q61:R61"/>
    <mergeCell ref="T61:U61"/>
    <mergeCell ref="W61:X61"/>
    <mergeCell ref="B63:C64"/>
    <mergeCell ref="Q63:R63"/>
    <mergeCell ref="T63:U63"/>
    <mergeCell ref="W63:X63"/>
    <mergeCell ref="B57:C58"/>
    <mergeCell ref="Q57:R57"/>
    <mergeCell ref="T57:U57"/>
    <mergeCell ref="W57:X57"/>
    <mergeCell ref="B59:C60"/>
    <mergeCell ref="Q59:R59"/>
    <mergeCell ref="T59:U59"/>
    <mergeCell ref="W59:X59"/>
    <mergeCell ref="B65:C66"/>
    <mergeCell ref="B67:C68"/>
    <mergeCell ref="Q67:R67"/>
    <mergeCell ref="T67:U67"/>
    <mergeCell ref="W67:X67"/>
    <mergeCell ref="B69:C70"/>
    <mergeCell ref="Q69:R69"/>
    <mergeCell ref="T69:U69"/>
    <mergeCell ref="W69:X69"/>
    <mergeCell ref="B75:C76"/>
    <mergeCell ref="Q75:R75"/>
    <mergeCell ref="T75:U75"/>
    <mergeCell ref="W75:X75"/>
    <mergeCell ref="B77:C78"/>
    <mergeCell ref="B79:C81"/>
    <mergeCell ref="B71:C72"/>
    <mergeCell ref="Q71:R71"/>
    <mergeCell ref="T71:U71"/>
    <mergeCell ref="W71:X71"/>
    <mergeCell ref="B73:C74"/>
    <mergeCell ref="M73:O73"/>
    <mergeCell ref="Q73:R73"/>
    <mergeCell ref="T73:U73"/>
    <mergeCell ref="W73:X73"/>
    <mergeCell ref="B86:C87"/>
    <mergeCell ref="Q86:R86"/>
    <mergeCell ref="T86:U86"/>
    <mergeCell ref="W86:X86"/>
    <mergeCell ref="B88:C89"/>
    <mergeCell ref="Q88:R88"/>
    <mergeCell ref="T88:U88"/>
    <mergeCell ref="W88:X88"/>
    <mergeCell ref="B82:C83"/>
    <mergeCell ref="Q82:R82"/>
    <mergeCell ref="T82:U82"/>
    <mergeCell ref="W82:X82"/>
    <mergeCell ref="B84:C85"/>
    <mergeCell ref="Q84:R84"/>
    <mergeCell ref="T84:U84"/>
    <mergeCell ref="W84:X84"/>
    <mergeCell ref="B95:C96"/>
    <mergeCell ref="Q95:R95"/>
    <mergeCell ref="T95:U95"/>
    <mergeCell ref="W95:X95"/>
    <mergeCell ref="B97:C98"/>
    <mergeCell ref="Q97:R97"/>
    <mergeCell ref="T97:U97"/>
    <mergeCell ref="W97:X97"/>
    <mergeCell ref="B90:C92"/>
    <mergeCell ref="Q90:R90"/>
    <mergeCell ref="T90:U90"/>
    <mergeCell ref="W90:X90"/>
    <mergeCell ref="B93:C94"/>
    <mergeCell ref="Q93:R93"/>
    <mergeCell ref="T93:U93"/>
    <mergeCell ref="W93:X93"/>
    <mergeCell ref="B99:C100"/>
    <mergeCell ref="B101:C102"/>
    <mergeCell ref="Q101:R101"/>
    <mergeCell ref="T101:U101"/>
    <mergeCell ref="W101:X101"/>
    <mergeCell ref="B103:C105"/>
    <mergeCell ref="Q103:R103"/>
    <mergeCell ref="T103:U103"/>
    <mergeCell ref="W103:X103"/>
    <mergeCell ref="B111:C113"/>
    <mergeCell ref="Q111:R111"/>
    <mergeCell ref="T111:U111"/>
    <mergeCell ref="W111:X111"/>
    <mergeCell ref="B114:C115"/>
    <mergeCell ref="Q114:R114"/>
    <mergeCell ref="T114:U114"/>
    <mergeCell ref="W114:X114"/>
    <mergeCell ref="B106:C107"/>
    <mergeCell ref="Q106:R106"/>
    <mergeCell ref="T106:U106"/>
    <mergeCell ref="W106:X106"/>
    <mergeCell ref="B108:C110"/>
    <mergeCell ref="Q108:R108"/>
    <mergeCell ref="T108:U108"/>
    <mergeCell ref="W108:X108"/>
    <mergeCell ref="B123:C125"/>
    <mergeCell ref="Q123:R123"/>
    <mergeCell ref="T123:U123"/>
    <mergeCell ref="W123:X123"/>
    <mergeCell ref="B126:C128"/>
    <mergeCell ref="Q126:R126"/>
    <mergeCell ref="T126:U126"/>
    <mergeCell ref="W126:X126"/>
    <mergeCell ref="B116:C117"/>
    <mergeCell ref="Q116:R116"/>
    <mergeCell ref="T116:U116"/>
    <mergeCell ref="W116:X116"/>
    <mergeCell ref="B118:C119"/>
    <mergeCell ref="B120:C122"/>
    <mergeCell ref="M120:O120"/>
    <mergeCell ref="Q120:R120"/>
    <mergeCell ref="T120:U120"/>
    <mergeCell ref="W120:X120"/>
    <mergeCell ref="B129:C131"/>
    <mergeCell ref="Q129:R129"/>
    <mergeCell ref="T129:U129"/>
    <mergeCell ref="W129:X129"/>
    <mergeCell ref="B132:C133"/>
    <mergeCell ref="B134:C136"/>
    <mergeCell ref="Q134:R134"/>
    <mergeCell ref="T134:U134"/>
    <mergeCell ref="W134:X134"/>
    <mergeCell ref="B146:C148"/>
    <mergeCell ref="B149:C151"/>
    <mergeCell ref="Q149:R149"/>
    <mergeCell ref="T149:U149"/>
    <mergeCell ref="W149:X149"/>
    <mergeCell ref="B152:C154"/>
    <mergeCell ref="B137:C139"/>
    <mergeCell ref="Q137:R137"/>
    <mergeCell ref="T137:U137"/>
    <mergeCell ref="W137:X137"/>
    <mergeCell ref="B140:C142"/>
    <mergeCell ref="B143:C145"/>
    <mergeCell ref="B155:C157"/>
    <mergeCell ref="B158:C160"/>
    <mergeCell ref="Q158:R158"/>
    <mergeCell ref="T158:U158"/>
    <mergeCell ref="W158:X158"/>
    <mergeCell ref="B161:C163"/>
    <mergeCell ref="Q161:R161"/>
    <mergeCell ref="T161:U161"/>
    <mergeCell ref="W161:X161"/>
    <mergeCell ref="B170:C172"/>
    <mergeCell ref="Q170:R170"/>
    <mergeCell ref="T170:U170"/>
    <mergeCell ref="W170:X170"/>
    <mergeCell ref="B173:C175"/>
    <mergeCell ref="Q173:R173"/>
    <mergeCell ref="T173:U173"/>
    <mergeCell ref="W173:X173"/>
    <mergeCell ref="B164:C166"/>
    <mergeCell ref="Q164:R164"/>
    <mergeCell ref="T164:U164"/>
    <mergeCell ref="W164:X164"/>
    <mergeCell ref="B167:C169"/>
    <mergeCell ref="Q167:R167"/>
    <mergeCell ref="T167:U167"/>
    <mergeCell ref="W167:X167"/>
    <mergeCell ref="B182:C184"/>
    <mergeCell ref="Q182:R182"/>
    <mergeCell ref="T182:U182"/>
    <mergeCell ref="W182:X182"/>
    <mergeCell ref="M185:O185"/>
    <mergeCell ref="Q185:R185"/>
    <mergeCell ref="T185:U185"/>
    <mergeCell ref="W185:X185"/>
    <mergeCell ref="B176:C178"/>
    <mergeCell ref="Q176:R176"/>
    <mergeCell ref="T176:U176"/>
    <mergeCell ref="W176:X176"/>
    <mergeCell ref="B179:C181"/>
    <mergeCell ref="Q179:R179"/>
    <mergeCell ref="T179:U179"/>
    <mergeCell ref="W179:X17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K10" sqref="K10"/>
    </sheetView>
  </sheetViews>
  <sheetFormatPr defaultColWidth="9.140625" defaultRowHeight="14.25"/>
  <cols>
    <col min="1" max="6" width="9.140625" style="565"/>
    <col min="7" max="7" width="10.42578125" style="565" bestFit="1" customWidth="1"/>
    <col min="8" max="8" width="14" style="565" customWidth="1"/>
    <col min="9" max="9" width="9.28515625" style="565" bestFit="1" customWidth="1"/>
    <col min="10" max="10" width="9.140625" style="565"/>
    <col min="11" max="12" width="6.85546875" style="565" bestFit="1" customWidth="1"/>
    <col min="13" max="13" width="11.85546875" style="565" customWidth="1"/>
    <col min="14" max="14" width="9.140625" style="565"/>
    <col min="15" max="15" width="11.7109375" style="565" bestFit="1" customWidth="1"/>
    <col min="16" max="16384" width="9.140625" style="565"/>
  </cols>
  <sheetData>
    <row r="1" spans="1:15" ht="36.75">
      <c r="A1" s="564" t="s">
        <v>279</v>
      </c>
    </row>
    <row r="4" spans="1:15" ht="36.75">
      <c r="A4" s="641" t="s">
        <v>278</v>
      </c>
      <c r="B4" s="642"/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</row>
    <row r="5" spans="1:15" ht="59.25" customHeight="1"/>
    <row r="6" spans="1:15" ht="59.25" customHeight="1"/>
    <row r="7" spans="1:15" ht="36.75">
      <c r="C7" s="643" t="s">
        <v>117</v>
      </c>
      <c r="D7" s="643"/>
      <c r="E7" s="643"/>
      <c r="F7" s="643"/>
      <c r="G7" s="643"/>
      <c r="H7" s="643"/>
      <c r="I7" s="643"/>
      <c r="J7" s="643"/>
      <c r="K7" s="643"/>
      <c r="L7" s="643"/>
    </row>
    <row r="8" spans="1:15" ht="51.75" customHeight="1"/>
    <row r="9" spans="1:15" ht="51.75" customHeight="1">
      <c r="O9" s="572">
        <f>IF(MOD(H10+1911,4)=0,1,0)</f>
        <v>0</v>
      </c>
    </row>
    <row r="10" spans="1:15" s="566" customFormat="1" ht="32.25">
      <c r="C10" s="567"/>
      <c r="D10" s="567"/>
      <c r="E10" s="645" t="s">
        <v>118</v>
      </c>
      <c r="F10" s="645"/>
      <c r="G10" s="645"/>
      <c r="H10" s="566">
        <v>112</v>
      </c>
      <c r="I10" s="566" t="s">
        <v>119</v>
      </c>
      <c r="J10" s="566">
        <v>7</v>
      </c>
      <c r="K10" s="568" t="s">
        <v>120</v>
      </c>
      <c r="L10" s="569" t="s">
        <v>123</v>
      </c>
      <c r="O10" s="573">
        <f>_xlfn.IFS(J10=1,31,J10=2,28+O9,J10=3,31,J10=4,30,J10=5,31,J10=6,30,J10=7,31,J10=8,31,J10=9,30,J10=10,31,J10=11,30,J10=12,31)</f>
        <v>31</v>
      </c>
    </row>
    <row r="15" spans="1:15" s="570" customFormat="1" ht="34.5" customHeight="1">
      <c r="B15" s="644" t="s">
        <v>121</v>
      </c>
      <c r="C15" s="644"/>
      <c r="D15" s="644"/>
      <c r="E15" s="644"/>
      <c r="F15" s="644"/>
      <c r="H15" s="571"/>
      <c r="I15" s="571" t="s">
        <v>122</v>
      </c>
      <c r="J15" s="571"/>
      <c r="K15" s="571"/>
      <c r="L15" s="571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Q17" sqref="Q17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08" customWidth="1"/>
    <col min="34" max="16384" width="6.85546875" style="82"/>
  </cols>
  <sheetData>
    <row r="1" spans="2:35" ht="2.25" customHeight="1">
      <c r="AE1" s="649"/>
      <c r="AF1" s="649"/>
      <c r="AG1" s="649"/>
      <c r="AH1" s="649"/>
      <c r="AI1" s="649"/>
    </row>
    <row r="2" spans="2:35" ht="9" customHeight="1">
      <c r="B2" s="461"/>
      <c r="C2" s="653" t="str">
        <f>[1]封面!$A$4</f>
        <v>彰化縣地方教育發展基金－彰化縣秀水鄉馬興國民小學</v>
      </c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  <c r="T2" s="653"/>
      <c r="U2" s="653"/>
      <c r="V2" s="653"/>
      <c r="W2" s="653"/>
      <c r="X2" s="653"/>
      <c r="Y2" s="653"/>
      <c r="Z2" s="653"/>
      <c r="AA2" s="653"/>
      <c r="AB2" s="653"/>
      <c r="AC2" s="653"/>
      <c r="AD2" s="653"/>
      <c r="AE2" s="649"/>
      <c r="AF2" s="649"/>
      <c r="AG2" s="649"/>
      <c r="AH2" s="649"/>
      <c r="AI2" s="649"/>
    </row>
    <row r="3" spans="2:35" ht="18" customHeight="1">
      <c r="B3" s="461"/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653"/>
      <c r="Q3" s="653"/>
      <c r="R3" s="653"/>
      <c r="S3" s="653"/>
      <c r="T3" s="653"/>
      <c r="U3" s="653"/>
      <c r="V3" s="653"/>
      <c r="W3" s="653"/>
      <c r="X3" s="653"/>
      <c r="Y3" s="653"/>
      <c r="Z3" s="653"/>
      <c r="AA3" s="653"/>
      <c r="AB3" s="653"/>
      <c r="AC3" s="653"/>
      <c r="AD3" s="653"/>
    </row>
    <row r="4" spans="2:35" ht="24" customHeight="1">
      <c r="B4" s="650" t="s">
        <v>9</v>
      </c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  <c r="W4" s="650"/>
      <c r="X4" s="650"/>
      <c r="Y4" s="650"/>
      <c r="Z4" s="650"/>
      <c r="AA4" s="650"/>
      <c r="AB4" s="650"/>
      <c r="AC4" s="650"/>
      <c r="AD4" s="650"/>
    </row>
    <row r="5" spans="2:35" ht="7.5" customHeight="1">
      <c r="C5" s="651" t="str">
        <f>封面!$E$10&amp;封面!$H$10&amp;封面!$I$10&amp;封面!$J$10&amp;封面!$K$10&amp;封面!L10</f>
        <v>中華民國112年7月份</v>
      </c>
      <c r="D5" s="651"/>
      <c r="E5" s="651"/>
      <c r="F5" s="651"/>
      <c r="G5" s="651"/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651"/>
      <c r="S5" s="651"/>
      <c r="T5" s="651"/>
      <c r="U5" s="651"/>
      <c r="V5" s="651"/>
      <c r="W5" s="651"/>
      <c r="X5" s="651"/>
      <c r="Y5" s="651"/>
      <c r="Z5" s="651"/>
      <c r="AA5" s="651"/>
      <c r="AB5" s="651"/>
      <c r="AC5" s="651"/>
      <c r="AD5" s="651"/>
    </row>
    <row r="6" spans="2:35" ht="13.9" customHeight="1">
      <c r="C6" s="651"/>
      <c r="D6" s="651"/>
      <c r="E6" s="651"/>
      <c r="F6" s="651"/>
      <c r="G6" s="651"/>
      <c r="H6" s="651"/>
      <c r="I6" s="651"/>
      <c r="J6" s="651"/>
      <c r="K6" s="651"/>
      <c r="L6" s="651"/>
      <c r="M6" s="651"/>
      <c r="N6" s="651"/>
      <c r="O6" s="651"/>
      <c r="P6" s="651"/>
      <c r="Q6" s="651"/>
      <c r="R6" s="651"/>
      <c r="S6" s="651"/>
      <c r="T6" s="651"/>
      <c r="U6" s="651"/>
      <c r="V6" s="651"/>
      <c r="W6" s="651"/>
      <c r="X6" s="651"/>
      <c r="Y6" s="651"/>
      <c r="Z6" s="651"/>
      <c r="AA6" s="651"/>
      <c r="AB6" s="651"/>
      <c r="AC6" s="651"/>
      <c r="AD6" s="651"/>
    </row>
    <row r="7" spans="2:35" ht="16.149999999999999" customHeight="1">
      <c r="Y7" s="652" t="s">
        <v>1</v>
      </c>
      <c r="Z7" s="652"/>
      <c r="AA7" s="652"/>
      <c r="AB7" s="652"/>
      <c r="AC7" s="652"/>
      <c r="AD7" s="652"/>
    </row>
    <row r="8" spans="2:35" ht="3.75" customHeight="1"/>
    <row r="9" spans="2:35" s="83" customFormat="1" ht="12.75" customHeight="1">
      <c r="C9" s="646" t="s">
        <v>376</v>
      </c>
      <c r="D9" s="646"/>
      <c r="E9" s="460"/>
      <c r="F9" s="460"/>
      <c r="G9" s="665" t="s">
        <v>447</v>
      </c>
      <c r="H9" s="460"/>
      <c r="I9" s="460"/>
      <c r="J9" s="654" t="s">
        <v>10</v>
      </c>
      <c r="K9" s="655"/>
      <c r="L9" s="655"/>
      <c r="M9" s="655"/>
      <c r="N9" s="655"/>
      <c r="O9" s="655"/>
      <c r="P9" s="655"/>
      <c r="Q9" s="656"/>
      <c r="R9" s="460"/>
      <c r="S9" s="460"/>
      <c r="T9" s="654" t="s">
        <v>11</v>
      </c>
      <c r="U9" s="655"/>
      <c r="V9" s="655"/>
      <c r="W9" s="655"/>
      <c r="X9" s="655"/>
      <c r="Y9" s="655"/>
      <c r="Z9" s="655"/>
      <c r="AA9" s="655"/>
      <c r="AB9" s="655"/>
      <c r="AC9" s="655"/>
      <c r="AD9" s="656"/>
      <c r="AG9" s="209"/>
    </row>
    <row r="10" spans="2:35" s="83" customFormat="1" ht="15.6" hidden="1" customHeight="1">
      <c r="C10" s="460"/>
      <c r="D10" s="547"/>
      <c r="E10" s="460"/>
      <c r="F10" s="460"/>
      <c r="G10" s="673"/>
      <c r="H10" s="459"/>
      <c r="I10" s="460"/>
      <c r="J10" s="660"/>
      <c r="K10" s="661"/>
      <c r="L10" s="661"/>
      <c r="M10" s="661"/>
      <c r="N10" s="661"/>
      <c r="O10" s="661"/>
      <c r="P10" s="661"/>
      <c r="Q10" s="662"/>
      <c r="R10" s="460"/>
      <c r="S10" s="460"/>
      <c r="T10" s="660"/>
      <c r="U10" s="661"/>
      <c r="V10" s="661"/>
      <c r="W10" s="661"/>
      <c r="X10" s="661"/>
      <c r="Y10" s="661"/>
      <c r="Z10" s="661"/>
      <c r="AA10" s="661"/>
      <c r="AB10" s="661"/>
      <c r="AC10" s="661"/>
      <c r="AD10" s="662"/>
      <c r="AG10" s="209"/>
    </row>
    <row r="11" spans="2:35" s="83" customFormat="1" ht="25.15" hidden="1" customHeight="1">
      <c r="C11" s="460"/>
      <c r="D11" s="460"/>
      <c r="E11" s="460"/>
      <c r="F11" s="460"/>
      <c r="G11" s="673"/>
      <c r="H11" s="459"/>
      <c r="I11" s="460"/>
      <c r="J11" s="460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0"/>
      <c r="X11" s="460"/>
      <c r="Y11" s="460"/>
      <c r="Z11" s="460"/>
      <c r="AA11" s="460"/>
      <c r="AB11" s="460"/>
      <c r="AC11" s="460"/>
      <c r="AD11" s="460"/>
      <c r="AG11" s="209"/>
    </row>
    <row r="12" spans="2:35" s="83" customFormat="1" ht="15" customHeight="1">
      <c r="C12" s="647" t="s">
        <v>446</v>
      </c>
      <c r="D12" s="646" t="s">
        <v>7</v>
      </c>
      <c r="E12" s="460"/>
      <c r="F12" s="460"/>
      <c r="G12" s="673"/>
      <c r="H12" s="459"/>
      <c r="I12" s="460"/>
      <c r="J12" s="665" t="s">
        <v>13</v>
      </c>
      <c r="K12" s="665" t="s">
        <v>13</v>
      </c>
      <c r="L12" s="460"/>
      <c r="M12" s="665" t="s">
        <v>14</v>
      </c>
      <c r="N12" s="654" t="s">
        <v>12</v>
      </c>
      <c r="O12" s="655"/>
      <c r="P12" s="655"/>
      <c r="Q12" s="655"/>
      <c r="R12" s="656"/>
      <c r="S12" s="460"/>
      <c r="T12" s="674" t="s">
        <v>377</v>
      </c>
      <c r="U12" s="460"/>
      <c r="V12" s="460"/>
      <c r="W12" s="654" t="s">
        <v>14</v>
      </c>
      <c r="X12" s="655"/>
      <c r="Y12" s="656"/>
      <c r="Z12" s="460"/>
      <c r="AA12" s="667" t="s">
        <v>12</v>
      </c>
      <c r="AB12" s="668"/>
      <c r="AC12" s="668"/>
      <c r="AD12" s="669"/>
      <c r="AG12" s="209"/>
    </row>
    <row r="13" spans="2:35" s="83" customFormat="1" ht="14.25" customHeight="1">
      <c r="C13" s="648"/>
      <c r="D13" s="646"/>
      <c r="E13" s="462"/>
      <c r="F13" s="460"/>
      <c r="G13" s="673"/>
      <c r="H13" s="459"/>
      <c r="I13" s="460"/>
      <c r="J13" s="673"/>
      <c r="K13" s="673"/>
      <c r="L13" s="460"/>
      <c r="M13" s="673"/>
      <c r="N13" s="660"/>
      <c r="O13" s="661"/>
      <c r="P13" s="661"/>
      <c r="Q13" s="661"/>
      <c r="R13" s="662"/>
      <c r="S13" s="460"/>
      <c r="T13" s="675"/>
      <c r="U13" s="663"/>
      <c r="V13" s="460"/>
      <c r="W13" s="657"/>
      <c r="X13" s="658"/>
      <c r="Y13" s="659"/>
      <c r="Z13" s="460"/>
      <c r="AA13" s="670"/>
      <c r="AB13" s="671"/>
      <c r="AC13" s="671"/>
      <c r="AD13" s="672"/>
      <c r="AG13" s="209"/>
    </row>
    <row r="14" spans="2:35" s="83" customFormat="1" ht="13.5" hidden="1" customHeight="1">
      <c r="C14" s="648"/>
      <c r="D14" s="646"/>
      <c r="E14" s="462"/>
      <c r="F14" s="460"/>
      <c r="G14" s="673"/>
      <c r="H14" s="460"/>
      <c r="I14" s="460"/>
      <c r="J14" s="673"/>
      <c r="K14" s="673"/>
      <c r="L14" s="460"/>
      <c r="M14" s="673"/>
      <c r="N14" s="665" t="s">
        <v>4</v>
      </c>
      <c r="O14" s="665" t="s">
        <v>4</v>
      </c>
      <c r="P14" s="460"/>
      <c r="Q14" s="654" t="s">
        <v>5</v>
      </c>
      <c r="R14" s="656"/>
      <c r="S14" s="460"/>
      <c r="T14" s="675"/>
      <c r="U14" s="664"/>
      <c r="V14" s="460"/>
      <c r="W14" s="657"/>
      <c r="X14" s="658"/>
      <c r="Y14" s="659"/>
      <c r="Z14" s="460"/>
      <c r="AA14" s="663" t="s">
        <v>4</v>
      </c>
      <c r="AB14" s="460"/>
      <c r="AC14" s="460"/>
      <c r="AD14" s="663" t="s">
        <v>5</v>
      </c>
      <c r="AG14" s="209"/>
    </row>
    <row r="15" spans="2:35" s="83" customFormat="1" ht="18" customHeight="1">
      <c r="C15" s="648"/>
      <c r="D15" s="646"/>
      <c r="E15" s="462"/>
      <c r="F15" s="460"/>
      <c r="G15" s="666"/>
      <c r="H15" s="460"/>
      <c r="I15" s="460"/>
      <c r="J15" s="666"/>
      <c r="K15" s="666"/>
      <c r="L15" s="460"/>
      <c r="M15" s="666"/>
      <c r="N15" s="666"/>
      <c r="O15" s="666"/>
      <c r="P15" s="460"/>
      <c r="Q15" s="660"/>
      <c r="R15" s="662"/>
      <c r="S15" s="460"/>
      <c r="T15" s="676"/>
      <c r="U15" s="460"/>
      <c r="V15" s="460"/>
      <c r="W15" s="660"/>
      <c r="X15" s="661"/>
      <c r="Y15" s="662"/>
      <c r="Z15" s="460"/>
      <c r="AA15" s="664"/>
      <c r="AB15" s="460"/>
      <c r="AC15" s="460"/>
      <c r="AD15" s="664"/>
      <c r="AG15" s="209"/>
    </row>
    <row r="16" spans="2:35" ht="15">
      <c r="C16" s="372" t="s">
        <v>15</v>
      </c>
      <c r="D16" s="430" t="s">
        <v>378</v>
      </c>
      <c r="E16" s="373"/>
      <c r="F16" s="84"/>
      <c r="G16" s="169">
        <v>36013000</v>
      </c>
      <c r="H16" s="169"/>
      <c r="I16" s="169"/>
      <c r="J16" s="169">
        <v>2352000</v>
      </c>
      <c r="K16" s="169"/>
      <c r="L16" s="169"/>
      <c r="M16" s="169">
        <v>2352000</v>
      </c>
      <c r="N16" s="170"/>
      <c r="O16" s="170"/>
      <c r="P16" s="105"/>
      <c r="Q16" s="175"/>
      <c r="R16" s="105"/>
      <c r="S16" s="201"/>
      <c r="T16" s="203">
        <v>22887974</v>
      </c>
      <c r="U16" s="169"/>
      <c r="V16" s="170"/>
      <c r="W16" s="206">
        <v>22975000</v>
      </c>
      <c r="X16" s="203"/>
      <c r="Y16" s="169"/>
      <c r="Z16" s="170"/>
      <c r="AA16" s="174">
        <v>-87026</v>
      </c>
      <c r="AB16" s="105"/>
      <c r="AC16" s="105"/>
      <c r="AD16" s="175">
        <v>-0.37878563656147984</v>
      </c>
      <c r="AF16" s="82">
        <v>1</v>
      </c>
      <c r="AG16" s="208" t="str">
        <f>IF(LEN(D16)&lt;3,"",IF(OR(ABS(AD16)&gt;10,ABS(AA16)&gt;10000000,AND(T16&gt;0,W16=0)),"填寫說明",""))</f>
        <v/>
      </c>
    </row>
    <row r="17" spans="3:33" ht="15">
      <c r="C17" s="390" t="s">
        <v>16</v>
      </c>
      <c r="D17" s="430" t="s">
        <v>379</v>
      </c>
      <c r="E17" s="392"/>
      <c r="F17" s="86"/>
      <c r="G17" s="171">
        <v>10000</v>
      </c>
      <c r="H17" s="171"/>
      <c r="I17" s="171"/>
      <c r="J17" s="171"/>
      <c r="K17" s="172"/>
      <c r="L17" s="172"/>
      <c r="M17" s="172"/>
      <c r="N17" s="172"/>
      <c r="O17" s="172"/>
      <c r="P17" s="106"/>
      <c r="Q17" s="108"/>
      <c r="R17" s="106"/>
      <c r="S17" s="202"/>
      <c r="T17" s="205">
        <v>5923</v>
      </c>
      <c r="U17" s="172"/>
      <c r="V17" s="172"/>
      <c r="W17" s="207">
        <v>5000</v>
      </c>
      <c r="X17" s="204"/>
      <c r="Y17" s="172"/>
      <c r="Z17" s="172"/>
      <c r="AA17" s="172">
        <v>923</v>
      </c>
      <c r="AB17" s="106"/>
      <c r="AC17" s="106"/>
      <c r="AD17" s="108">
        <v>18.46</v>
      </c>
      <c r="AF17" s="82">
        <v>4</v>
      </c>
      <c r="AG17" s="208" t="str">
        <f t="shared" ref="AG17:AG45" si="0">IF(LEN(D17)&lt;3,"",IF(OR(ABS(AD17)&gt;10,ABS(AA17)&gt;10000000,AND(T17&gt;0,W17=0)),"填寫說明",""))</f>
        <v/>
      </c>
    </row>
    <row r="18" spans="3:33" ht="15">
      <c r="C18" s="393" t="s">
        <v>17</v>
      </c>
      <c r="D18" s="430" t="s">
        <v>380</v>
      </c>
      <c r="E18" s="391"/>
      <c r="F18" s="86"/>
      <c r="G18" s="171">
        <v>10000</v>
      </c>
      <c r="H18" s="171"/>
      <c r="I18" s="171"/>
      <c r="J18" s="171"/>
      <c r="K18" s="172"/>
      <c r="L18" s="172"/>
      <c r="M18" s="172"/>
      <c r="N18" s="172"/>
      <c r="O18" s="172"/>
      <c r="P18" s="106"/>
      <c r="Q18" s="108"/>
      <c r="R18" s="106"/>
      <c r="S18" s="202"/>
      <c r="T18" s="205">
        <v>5923</v>
      </c>
      <c r="U18" s="172"/>
      <c r="V18" s="172"/>
      <c r="W18" s="207">
        <v>5000</v>
      </c>
      <c r="X18" s="204"/>
      <c r="Y18" s="172"/>
      <c r="Z18" s="172"/>
      <c r="AA18" s="172">
        <v>923</v>
      </c>
      <c r="AB18" s="106"/>
      <c r="AC18" s="106"/>
      <c r="AD18" s="108">
        <v>18.46</v>
      </c>
      <c r="AF18" s="82">
        <v>5</v>
      </c>
      <c r="AG18" s="208" t="str">
        <f t="shared" si="0"/>
        <v>填寫說明</v>
      </c>
    </row>
    <row r="19" spans="3:33" ht="15">
      <c r="C19" s="390" t="s">
        <v>18</v>
      </c>
      <c r="D19" s="430" t="s">
        <v>381</v>
      </c>
      <c r="E19" s="392"/>
      <c r="F19" s="86"/>
      <c r="G19" s="171">
        <v>1000</v>
      </c>
      <c r="H19" s="171"/>
      <c r="I19" s="171"/>
      <c r="J19" s="171"/>
      <c r="K19" s="171"/>
      <c r="L19" s="171"/>
      <c r="M19" s="171"/>
      <c r="N19" s="172"/>
      <c r="O19" s="172"/>
      <c r="P19" s="106"/>
      <c r="Q19" s="108"/>
      <c r="R19" s="106"/>
      <c r="S19" s="202"/>
      <c r="T19" s="205">
        <v>1191</v>
      </c>
      <c r="U19" s="171"/>
      <c r="V19" s="172"/>
      <c r="W19" s="207"/>
      <c r="X19" s="205"/>
      <c r="Y19" s="171"/>
      <c r="Z19" s="172"/>
      <c r="AA19" s="172">
        <v>1191</v>
      </c>
      <c r="AB19" s="106"/>
      <c r="AC19" s="106"/>
      <c r="AD19" s="108"/>
      <c r="AF19" s="82">
        <v>6</v>
      </c>
      <c r="AG19" s="208" t="str">
        <f t="shared" si="0"/>
        <v/>
      </c>
    </row>
    <row r="20" spans="3:33" ht="15">
      <c r="C20" s="393" t="s">
        <v>382</v>
      </c>
      <c r="D20" s="430">
        <v>451</v>
      </c>
      <c r="E20" s="86"/>
      <c r="F20" s="86"/>
      <c r="G20" s="171"/>
      <c r="H20" s="171"/>
      <c r="I20" s="171"/>
      <c r="J20" s="171"/>
      <c r="K20" s="171"/>
      <c r="L20" s="171"/>
      <c r="M20" s="171"/>
      <c r="N20" s="172"/>
      <c r="O20" s="172"/>
      <c r="P20" s="106"/>
      <c r="Q20" s="108"/>
      <c r="R20" s="106"/>
      <c r="S20" s="202"/>
      <c r="T20" s="422">
        <v>1191</v>
      </c>
      <c r="U20" s="171"/>
      <c r="V20" s="172"/>
      <c r="W20" s="422"/>
      <c r="X20" s="205"/>
      <c r="Y20" s="171"/>
      <c r="Z20" s="172"/>
      <c r="AA20" s="172">
        <v>1191</v>
      </c>
      <c r="AB20" s="106"/>
      <c r="AC20" s="106"/>
      <c r="AD20" s="108"/>
      <c r="AF20" s="82">
        <v>7</v>
      </c>
      <c r="AG20" s="208" t="str">
        <f t="shared" si="0"/>
        <v>填寫說明</v>
      </c>
    </row>
    <row r="21" spans="3:33" ht="15">
      <c r="C21" s="393" t="s">
        <v>19</v>
      </c>
      <c r="D21" s="430" t="s">
        <v>383</v>
      </c>
      <c r="E21" s="392"/>
      <c r="F21" s="86"/>
      <c r="G21" s="171">
        <v>1000</v>
      </c>
      <c r="H21" s="171"/>
      <c r="I21" s="171"/>
      <c r="J21" s="171"/>
      <c r="K21" s="172"/>
      <c r="L21" s="172"/>
      <c r="M21" s="172"/>
      <c r="N21" s="172"/>
      <c r="O21" s="172"/>
      <c r="P21" s="106"/>
      <c r="Q21" s="108"/>
      <c r="R21" s="106"/>
      <c r="S21" s="202"/>
      <c r="T21" s="205"/>
      <c r="U21" s="172"/>
      <c r="V21" s="172"/>
      <c r="W21" s="207"/>
      <c r="X21" s="205"/>
      <c r="Y21" s="171"/>
      <c r="Z21" s="171"/>
      <c r="AA21" s="171"/>
      <c r="AB21" s="106"/>
      <c r="AC21" s="108"/>
      <c r="AD21" s="108"/>
      <c r="AF21" s="82">
        <v>8</v>
      </c>
      <c r="AG21" s="208" t="str">
        <f t="shared" si="0"/>
        <v/>
      </c>
    </row>
    <row r="22" spans="3:33" ht="15">
      <c r="C22" s="390" t="s">
        <v>384</v>
      </c>
      <c r="D22" s="430" t="s">
        <v>385</v>
      </c>
      <c r="E22" s="391"/>
      <c r="F22" s="86"/>
      <c r="G22" s="171">
        <v>35992000</v>
      </c>
      <c r="H22" s="171"/>
      <c r="I22" s="171"/>
      <c r="J22" s="171">
        <v>2352000</v>
      </c>
      <c r="K22" s="172"/>
      <c r="L22" s="172"/>
      <c r="M22" s="172">
        <v>2352000</v>
      </c>
      <c r="N22" s="172"/>
      <c r="O22" s="172"/>
      <c r="P22" s="106"/>
      <c r="Q22" s="108"/>
      <c r="R22" s="106"/>
      <c r="S22" s="202"/>
      <c r="T22" s="205">
        <v>22880013</v>
      </c>
      <c r="U22" s="172"/>
      <c r="V22" s="172"/>
      <c r="W22" s="207">
        <v>22965000</v>
      </c>
      <c r="X22" s="205"/>
      <c r="Y22" s="171"/>
      <c r="Z22" s="171"/>
      <c r="AA22" s="171">
        <v>-84987</v>
      </c>
      <c r="AB22" s="106"/>
      <c r="AC22" s="108"/>
      <c r="AD22" s="108">
        <v>-0.37007184846505553</v>
      </c>
      <c r="AF22" s="82">
        <v>9</v>
      </c>
      <c r="AG22" s="208" t="str">
        <f t="shared" si="0"/>
        <v/>
      </c>
    </row>
    <row r="23" spans="3:33" ht="15">
      <c r="C23" s="393" t="s">
        <v>21</v>
      </c>
      <c r="D23" s="430" t="s">
        <v>386</v>
      </c>
      <c r="E23" s="392"/>
      <c r="F23" s="86"/>
      <c r="G23" s="171">
        <v>35992000</v>
      </c>
      <c r="H23" s="171"/>
      <c r="I23" s="171"/>
      <c r="J23" s="171">
        <v>2352000</v>
      </c>
      <c r="K23" s="171"/>
      <c r="L23" s="171"/>
      <c r="M23" s="171">
        <v>2352000</v>
      </c>
      <c r="N23" s="171"/>
      <c r="O23" s="171"/>
      <c r="P23" s="107"/>
      <c r="Q23" s="108"/>
      <c r="R23" s="108"/>
      <c r="S23" s="202"/>
      <c r="T23" s="205">
        <v>22880013</v>
      </c>
      <c r="U23" s="171"/>
      <c r="V23" s="172"/>
      <c r="W23" s="207">
        <v>22965000</v>
      </c>
      <c r="X23" s="205"/>
      <c r="Y23" s="171"/>
      <c r="Z23" s="171"/>
      <c r="AA23" s="171">
        <v>-84987</v>
      </c>
      <c r="AB23" s="106"/>
      <c r="AC23" s="108"/>
      <c r="AD23" s="108">
        <v>-0.37007184846505553</v>
      </c>
      <c r="AF23" s="82">
        <v>10</v>
      </c>
      <c r="AG23" s="208" t="str">
        <f t="shared" si="0"/>
        <v/>
      </c>
    </row>
    <row r="24" spans="3:33" ht="15">
      <c r="C24" s="167" t="s">
        <v>184</v>
      </c>
      <c r="D24" s="430" t="s">
        <v>387</v>
      </c>
      <c r="E24" s="86"/>
      <c r="F24" s="86"/>
      <c r="G24" s="171">
        <v>10000</v>
      </c>
      <c r="H24" s="171"/>
      <c r="I24" s="171"/>
      <c r="J24" s="171"/>
      <c r="K24" s="171"/>
      <c r="L24" s="171"/>
      <c r="M24" s="171"/>
      <c r="N24" s="171"/>
      <c r="O24" s="171"/>
      <c r="P24" s="107"/>
      <c r="Q24" s="108"/>
      <c r="R24" s="108"/>
      <c r="S24" s="202"/>
      <c r="T24" s="205">
        <v>847</v>
      </c>
      <c r="U24" s="171"/>
      <c r="V24" s="172"/>
      <c r="W24" s="207">
        <v>5000</v>
      </c>
      <c r="X24" s="205"/>
      <c r="Y24" s="171"/>
      <c r="Z24" s="171"/>
      <c r="AA24" s="171">
        <v>-4153</v>
      </c>
      <c r="AB24" s="106"/>
      <c r="AC24" s="108"/>
      <c r="AD24" s="108">
        <v>-83.06</v>
      </c>
      <c r="AF24" s="82">
        <v>11</v>
      </c>
      <c r="AG24" s="208" t="str">
        <f t="shared" si="0"/>
        <v/>
      </c>
    </row>
    <row r="25" spans="3:33" ht="15">
      <c r="C25" s="168" t="s">
        <v>388</v>
      </c>
      <c r="D25" s="430" t="s">
        <v>389</v>
      </c>
      <c r="E25" s="86"/>
      <c r="F25" s="86"/>
      <c r="G25" s="171">
        <v>10000</v>
      </c>
      <c r="H25" s="171"/>
      <c r="I25" s="171"/>
      <c r="J25" s="171"/>
      <c r="K25" s="171"/>
      <c r="L25" s="171"/>
      <c r="M25" s="171"/>
      <c r="N25" s="171"/>
      <c r="O25" s="171"/>
      <c r="P25" s="107"/>
      <c r="Q25" s="108"/>
      <c r="R25" s="108"/>
      <c r="S25" s="202"/>
      <c r="T25" s="205">
        <v>847</v>
      </c>
      <c r="U25" s="171"/>
      <c r="V25" s="172"/>
      <c r="W25" s="207">
        <v>5000</v>
      </c>
      <c r="X25" s="205"/>
      <c r="Y25" s="171"/>
      <c r="Z25" s="171"/>
      <c r="AA25" s="171">
        <v>-4153</v>
      </c>
      <c r="AB25" s="106"/>
      <c r="AC25" s="108"/>
      <c r="AD25" s="108">
        <v>-83.06</v>
      </c>
      <c r="AF25" s="82">
        <v>12</v>
      </c>
      <c r="AG25" s="208" t="str">
        <f t="shared" si="0"/>
        <v>填寫說明</v>
      </c>
    </row>
    <row r="26" spans="3:33" ht="15">
      <c r="C26" s="163" t="s">
        <v>167</v>
      </c>
      <c r="D26" s="430" t="s">
        <v>390</v>
      </c>
      <c r="E26" s="86"/>
      <c r="F26" s="86"/>
      <c r="G26" s="171">
        <v>36079000</v>
      </c>
      <c r="H26" s="171"/>
      <c r="I26" s="171"/>
      <c r="J26" s="171">
        <v>2610515</v>
      </c>
      <c r="K26" s="171"/>
      <c r="L26" s="171"/>
      <c r="M26" s="172">
        <v>2352000</v>
      </c>
      <c r="N26" s="171">
        <v>258515</v>
      </c>
      <c r="O26" s="171"/>
      <c r="P26" s="107"/>
      <c r="Q26" s="108">
        <v>10.991284013605444</v>
      </c>
      <c r="R26" s="106"/>
      <c r="S26" s="106"/>
      <c r="T26" s="171">
        <v>21620543</v>
      </c>
      <c r="U26" s="171"/>
      <c r="V26" s="172"/>
      <c r="W26" s="171">
        <v>23041000</v>
      </c>
      <c r="X26" s="171"/>
      <c r="Y26" s="171"/>
      <c r="Z26" s="171"/>
      <c r="AA26" s="171">
        <v>-1420457</v>
      </c>
      <c r="AB26" s="106"/>
      <c r="AC26" s="108"/>
      <c r="AD26" s="108">
        <v>-6.1649103771537694</v>
      </c>
      <c r="AF26" s="82">
        <v>13</v>
      </c>
      <c r="AG26" s="208" t="str">
        <f t="shared" si="0"/>
        <v/>
      </c>
    </row>
    <row r="27" spans="3:33" ht="15">
      <c r="C27" s="167" t="s">
        <v>22</v>
      </c>
      <c r="D27" s="430" t="s">
        <v>391</v>
      </c>
      <c r="E27" s="163"/>
      <c r="F27" s="86"/>
      <c r="G27" s="171">
        <v>36079000</v>
      </c>
      <c r="H27" s="171"/>
      <c r="I27" s="171"/>
      <c r="J27" s="171">
        <v>2610515</v>
      </c>
      <c r="K27" s="171"/>
      <c r="L27" s="171"/>
      <c r="M27" s="172">
        <v>2352000</v>
      </c>
      <c r="N27" s="171">
        <v>258515</v>
      </c>
      <c r="O27" s="171"/>
      <c r="P27" s="107"/>
      <c r="Q27" s="108">
        <v>10.991284013605444</v>
      </c>
      <c r="R27" s="106"/>
      <c r="S27" s="106"/>
      <c r="T27" s="171">
        <v>21620543</v>
      </c>
      <c r="U27" s="171"/>
      <c r="V27" s="172"/>
      <c r="W27" s="171">
        <v>23041000</v>
      </c>
      <c r="X27" s="171"/>
      <c r="Y27" s="171"/>
      <c r="Z27" s="171"/>
      <c r="AA27" s="171">
        <v>-1420457</v>
      </c>
      <c r="AB27" s="106"/>
      <c r="AC27" s="108"/>
      <c r="AD27" s="108">
        <v>-6.1649103771537694</v>
      </c>
      <c r="AF27" s="82">
        <v>14</v>
      </c>
      <c r="AG27" s="208" t="str">
        <f t="shared" si="0"/>
        <v/>
      </c>
    </row>
    <row r="28" spans="3:33" ht="15">
      <c r="C28" s="168" t="s">
        <v>449</v>
      </c>
      <c r="D28" s="430">
        <v>532</v>
      </c>
      <c r="E28" s="163"/>
      <c r="F28" s="86"/>
      <c r="G28" s="171">
        <v>36079000</v>
      </c>
      <c r="H28" s="171"/>
      <c r="I28" s="171"/>
      <c r="J28" s="171">
        <v>2610515</v>
      </c>
      <c r="K28" s="171"/>
      <c r="L28" s="171"/>
      <c r="M28" s="172">
        <v>2352000</v>
      </c>
      <c r="N28" s="171">
        <v>258515</v>
      </c>
      <c r="O28" s="171"/>
      <c r="P28" s="107"/>
      <c r="Q28" s="108">
        <v>10.991284013605444</v>
      </c>
      <c r="R28" s="106"/>
      <c r="S28" s="106"/>
      <c r="T28" s="171">
        <v>21620543</v>
      </c>
      <c r="U28" s="171"/>
      <c r="V28" s="172"/>
      <c r="W28" s="171">
        <v>23041000</v>
      </c>
      <c r="X28" s="171"/>
      <c r="Y28" s="171"/>
      <c r="Z28" s="171"/>
      <c r="AA28" s="171">
        <v>-1420457</v>
      </c>
      <c r="AB28" s="106"/>
      <c r="AC28" s="108"/>
      <c r="AD28" s="108">
        <v>-6.1649103771537694</v>
      </c>
      <c r="AF28" s="82">
        <v>15</v>
      </c>
      <c r="AG28" s="208" t="str">
        <f t="shared" si="0"/>
        <v/>
      </c>
    </row>
    <row r="29" spans="3:33" ht="15">
      <c r="C29" s="163" t="s">
        <v>166</v>
      </c>
      <c r="D29" s="430" t="s">
        <v>392</v>
      </c>
      <c r="E29" s="86"/>
      <c r="F29" s="86"/>
      <c r="G29" s="171">
        <v>-66000</v>
      </c>
      <c r="H29" s="171"/>
      <c r="I29" s="171"/>
      <c r="J29" s="171">
        <v>-258515</v>
      </c>
      <c r="K29" s="172"/>
      <c r="L29" s="172"/>
      <c r="M29" s="172"/>
      <c r="N29" s="172">
        <v>-258515</v>
      </c>
      <c r="O29" s="172"/>
      <c r="P29" s="106"/>
      <c r="Q29" s="108"/>
      <c r="R29" s="106"/>
      <c r="S29" s="106"/>
      <c r="T29" s="171">
        <v>1267431</v>
      </c>
      <c r="U29" s="171"/>
      <c r="V29" s="172"/>
      <c r="W29" s="171">
        <v>-66000</v>
      </c>
      <c r="X29" s="171"/>
      <c r="Y29" s="171"/>
      <c r="Z29" s="171"/>
      <c r="AA29" s="171">
        <v>1333431</v>
      </c>
      <c r="AB29" s="106"/>
      <c r="AC29" s="108"/>
      <c r="AD29" s="108">
        <v>-2020.35</v>
      </c>
      <c r="AF29" s="82">
        <v>18</v>
      </c>
      <c r="AG29" s="208" t="str">
        <f t="shared" si="0"/>
        <v/>
      </c>
    </row>
    <row r="30" spans="3:33" ht="15">
      <c r="C30" s="163" t="s">
        <v>24</v>
      </c>
      <c r="D30" s="430" t="s">
        <v>393</v>
      </c>
      <c r="E30" s="86"/>
      <c r="F30" s="86"/>
      <c r="G30" s="171">
        <v>635442</v>
      </c>
      <c r="H30" s="171"/>
      <c r="I30" s="171"/>
      <c r="J30" s="171"/>
      <c r="K30" s="172"/>
      <c r="L30" s="172"/>
      <c r="M30" s="172"/>
      <c r="N30" s="172"/>
      <c r="O30" s="172"/>
      <c r="P30" s="106"/>
      <c r="Q30" s="108"/>
      <c r="R30" s="106"/>
      <c r="S30" s="106"/>
      <c r="T30" s="171">
        <v>1741563</v>
      </c>
      <c r="U30" s="171"/>
      <c r="V30" s="172"/>
      <c r="W30" s="171">
        <v>635442</v>
      </c>
      <c r="X30" s="171"/>
      <c r="Y30" s="171"/>
      <c r="Z30" s="171"/>
      <c r="AA30" s="171">
        <v>1106121</v>
      </c>
      <c r="AB30" s="106"/>
      <c r="AC30" s="108"/>
      <c r="AD30" s="108">
        <v>174.07111900063262</v>
      </c>
      <c r="AG30" s="208" t="str">
        <f t="shared" si="0"/>
        <v/>
      </c>
    </row>
    <row r="31" spans="3:33" ht="15">
      <c r="C31" s="85" t="s">
        <v>25</v>
      </c>
      <c r="D31" s="430">
        <v>72</v>
      </c>
      <c r="E31" s="86"/>
      <c r="F31" s="86"/>
      <c r="G31" s="171"/>
      <c r="H31" s="171"/>
      <c r="I31" s="171"/>
      <c r="J31" s="171"/>
      <c r="K31" s="172"/>
      <c r="L31" s="172"/>
      <c r="M31" s="172"/>
      <c r="N31" s="172"/>
      <c r="O31" s="172"/>
      <c r="P31" s="106"/>
      <c r="Q31" s="108"/>
      <c r="R31" s="106"/>
      <c r="S31" s="106"/>
      <c r="T31" s="171"/>
      <c r="U31" s="171"/>
      <c r="V31" s="172"/>
      <c r="W31" s="171"/>
      <c r="X31" s="171"/>
      <c r="Y31" s="171"/>
      <c r="Z31" s="171"/>
      <c r="AA31" s="171"/>
      <c r="AB31" s="106"/>
      <c r="AC31" s="108"/>
      <c r="AD31" s="108"/>
      <c r="AG31" s="208" t="str">
        <f t="shared" si="0"/>
        <v/>
      </c>
    </row>
    <row r="32" spans="3:33" ht="15">
      <c r="C32" s="85" t="s">
        <v>26</v>
      </c>
      <c r="D32" s="430" t="s">
        <v>394</v>
      </c>
      <c r="E32" s="86"/>
      <c r="F32" s="86"/>
      <c r="G32" s="171">
        <v>569442</v>
      </c>
      <c r="H32" s="171"/>
      <c r="I32" s="171"/>
      <c r="J32" s="171"/>
      <c r="K32" s="172"/>
      <c r="L32" s="172"/>
      <c r="M32" s="172"/>
      <c r="N32" s="172"/>
      <c r="O32" s="172"/>
      <c r="P32" s="106"/>
      <c r="Q32" s="108"/>
      <c r="R32" s="106"/>
      <c r="S32" s="106"/>
      <c r="T32" s="171">
        <v>3008994</v>
      </c>
      <c r="U32" s="171"/>
      <c r="V32" s="172"/>
      <c r="W32" s="171">
        <v>569442</v>
      </c>
      <c r="X32" s="171"/>
      <c r="Y32" s="171"/>
      <c r="Z32" s="171"/>
      <c r="AA32" s="171">
        <v>2439552</v>
      </c>
      <c r="AB32" s="106"/>
      <c r="AC32" s="108"/>
      <c r="AD32" s="108">
        <v>428.41097073977681</v>
      </c>
      <c r="AG32" s="208" t="str">
        <f t="shared" si="0"/>
        <v/>
      </c>
    </row>
    <row r="33" spans="2:33" ht="15" hidden="1" customHeight="1">
      <c r="C33" s="85"/>
      <c r="D33" s="431"/>
      <c r="E33" s="86"/>
      <c r="F33" s="86"/>
      <c r="G33" s="172"/>
      <c r="H33" s="172"/>
      <c r="I33" s="172"/>
      <c r="J33" s="172"/>
      <c r="K33" s="172"/>
      <c r="L33" s="172"/>
      <c r="M33" s="172"/>
      <c r="N33" s="172"/>
      <c r="O33" s="172"/>
      <c r="P33" s="106"/>
      <c r="Q33" s="106"/>
      <c r="R33" s="106"/>
      <c r="S33" s="106"/>
      <c r="T33" s="172"/>
      <c r="U33" s="172"/>
      <c r="V33" s="172"/>
      <c r="W33" s="172"/>
      <c r="X33" s="172"/>
      <c r="Y33" s="172"/>
      <c r="Z33" s="172"/>
      <c r="AA33" s="172"/>
      <c r="AB33" s="106"/>
      <c r="AC33" s="106"/>
      <c r="AD33" s="106"/>
      <c r="AG33" s="208" t="str">
        <f t="shared" si="0"/>
        <v/>
      </c>
    </row>
    <row r="34" spans="2:33" ht="15" hidden="1" customHeight="1">
      <c r="C34" s="85"/>
      <c r="D34" s="431"/>
      <c r="E34" s="86"/>
      <c r="F34" s="86"/>
      <c r="G34" s="172"/>
      <c r="H34" s="172"/>
      <c r="I34" s="172"/>
      <c r="J34" s="172"/>
      <c r="K34" s="172"/>
      <c r="L34" s="172"/>
      <c r="M34" s="172"/>
      <c r="N34" s="172"/>
      <c r="O34" s="172"/>
      <c r="P34" s="106"/>
      <c r="Q34" s="106"/>
      <c r="R34" s="106"/>
      <c r="S34" s="106"/>
      <c r="T34" s="172"/>
      <c r="U34" s="172"/>
      <c r="V34" s="172"/>
      <c r="W34" s="172"/>
      <c r="X34" s="172"/>
      <c r="Y34" s="172"/>
      <c r="Z34" s="172"/>
      <c r="AA34" s="172"/>
      <c r="AB34" s="106"/>
      <c r="AC34" s="106"/>
      <c r="AD34" s="106"/>
      <c r="AG34" s="208" t="str">
        <f t="shared" si="0"/>
        <v/>
      </c>
    </row>
    <row r="35" spans="2:33" ht="15" hidden="1" customHeight="1">
      <c r="C35" s="85"/>
      <c r="D35" s="431"/>
      <c r="E35" s="86"/>
      <c r="F35" s="86"/>
      <c r="G35" s="172"/>
      <c r="H35" s="172"/>
      <c r="I35" s="172"/>
      <c r="J35" s="172"/>
      <c r="K35" s="172"/>
      <c r="L35" s="172"/>
      <c r="M35" s="172"/>
      <c r="N35" s="172"/>
      <c r="O35" s="172"/>
      <c r="P35" s="106"/>
      <c r="Q35" s="106"/>
      <c r="R35" s="106"/>
      <c r="S35" s="106"/>
      <c r="T35" s="172"/>
      <c r="U35" s="172"/>
      <c r="V35" s="172"/>
      <c r="W35" s="172"/>
      <c r="X35" s="172"/>
      <c r="Y35" s="172"/>
      <c r="Z35" s="172"/>
      <c r="AA35" s="172"/>
      <c r="AB35" s="106"/>
      <c r="AC35" s="106"/>
      <c r="AD35" s="106"/>
      <c r="AG35" s="208" t="str">
        <f t="shared" si="0"/>
        <v/>
      </c>
    </row>
    <row r="36" spans="2:33" ht="15" hidden="1" customHeight="1">
      <c r="C36" s="85"/>
      <c r="D36" s="431"/>
      <c r="E36" s="86"/>
      <c r="F36" s="86"/>
      <c r="G36" s="172"/>
      <c r="H36" s="172"/>
      <c r="I36" s="172"/>
      <c r="J36" s="172"/>
      <c r="K36" s="172"/>
      <c r="L36" s="172"/>
      <c r="M36" s="172"/>
      <c r="N36" s="172"/>
      <c r="O36" s="172"/>
      <c r="P36" s="106"/>
      <c r="Q36" s="106"/>
      <c r="R36" s="106"/>
      <c r="S36" s="106"/>
      <c r="T36" s="172"/>
      <c r="U36" s="172"/>
      <c r="V36" s="172"/>
      <c r="W36" s="172"/>
      <c r="X36" s="172"/>
      <c r="Y36" s="172"/>
      <c r="Z36" s="172"/>
      <c r="AA36" s="172"/>
      <c r="AB36" s="106"/>
      <c r="AC36" s="106"/>
      <c r="AD36" s="106"/>
      <c r="AG36" s="208" t="str">
        <f t="shared" si="0"/>
        <v/>
      </c>
    </row>
    <row r="37" spans="2:33" ht="15" hidden="1" customHeight="1">
      <c r="C37" s="85"/>
      <c r="D37" s="431"/>
      <c r="E37" s="86"/>
      <c r="F37" s="86"/>
      <c r="G37" s="172"/>
      <c r="H37" s="172"/>
      <c r="I37" s="172"/>
      <c r="J37" s="172"/>
      <c r="K37" s="172"/>
      <c r="L37" s="172"/>
      <c r="M37" s="172"/>
      <c r="N37" s="172"/>
      <c r="O37" s="172"/>
      <c r="P37" s="106"/>
      <c r="Q37" s="106"/>
      <c r="R37" s="106"/>
      <c r="S37" s="106"/>
      <c r="T37" s="172"/>
      <c r="U37" s="172"/>
      <c r="V37" s="172"/>
      <c r="W37" s="172"/>
      <c r="X37" s="172"/>
      <c r="Y37" s="172"/>
      <c r="Z37" s="172"/>
      <c r="AA37" s="172"/>
      <c r="AB37" s="106"/>
      <c r="AC37" s="106"/>
      <c r="AD37" s="106"/>
      <c r="AG37" s="208" t="str">
        <f t="shared" si="0"/>
        <v/>
      </c>
    </row>
    <row r="38" spans="2:33" ht="15" hidden="1" customHeight="1">
      <c r="C38" s="85"/>
      <c r="D38" s="431"/>
      <c r="E38" s="86"/>
      <c r="F38" s="86"/>
      <c r="G38" s="172"/>
      <c r="H38" s="172"/>
      <c r="I38" s="172"/>
      <c r="J38" s="172"/>
      <c r="K38" s="172"/>
      <c r="L38" s="172"/>
      <c r="M38" s="172"/>
      <c r="N38" s="172"/>
      <c r="O38" s="172"/>
      <c r="P38" s="106"/>
      <c r="Q38" s="106"/>
      <c r="R38" s="106"/>
      <c r="S38" s="106"/>
      <c r="T38" s="172"/>
      <c r="U38" s="172"/>
      <c r="V38" s="172"/>
      <c r="W38" s="172"/>
      <c r="X38" s="172"/>
      <c r="Y38" s="172"/>
      <c r="Z38" s="172"/>
      <c r="AA38" s="172"/>
      <c r="AB38" s="106"/>
      <c r="AC38" s="106"/>
      <c r="AD38" s="106"/>
      <c r="AG38" s="208" t="str">
        <f t="shared" si="0"/>
        <v/>
      </c>
    </row>
    <row r="39" spans="2:33" ht="15" hidden="1" customHeight="1">
      <c r="C39" s="85"/>
      <c r="D39" s="431"/>
      <c r="E39" s="86"/>
      <c r="F39" s="86"/>
      <c r="G39" s="172"/>
      <c r="H39" s="172"/>
      <c r="I39" s="172"/>
      <c r="J39" s="172"/>
      <c r="K39" s="172"/>
      <c r="L39" s="172"/>
      <c r="M39" s="172"/>
      <c r="N39" s="172"/>
      <c r="O39" s="172"/>
      <c r="P39" s="106"/>
      <c r="Q39" s="106"/>
      <c r="R39" s="106"/>
      <c r="S39" s="106"/>
      <c r="T39" s="172"/>
      <c r="U39" s="172"/>
      <c r="V39" s="172"/>
      <c r="W39" s="172"/>
      <c r="X39" s="172"/>
      <c r="Y39" s="172"/>
      <c r="Z39" s="172"/>
      <c r="AA39" s="172"/>
      <c r="AB39" s="106"/>
      <c r="AC39" s="106"/>
      <c r="AD39" s="106"/>
      <c r="AG39" s="208" t="str">
        <f t="shared" si="0"/>
        <v/>
      </c>
    </row>
    <row r="40" spans="2:33" ht="15" hidden="1" customHeight="1">
      <c r="C40" s="85"/>
      <c r="D40" s="431"/>
      <c r="E40" s="86"/>
      <c r="F40" s="86"/>
      <c r="G40" s="172"/>
      <c r="H40" s="172"/>
      <c r="I40" s="172"/>
      <c r="J40" s="172"/>
      <c r="K40" s="172"/>
      <c r="L40" s="172"/>
      <c r="M40" s="172"/>
      <c r="N40" s="172"/>
      <c r="O40" s="172"/>
      <c r="P40" s="106"/>
      <c r="Q40" s="106"/>
      <c r="R40" s="106"/>
      <c r="S40" s="106"/>
      <c r="T40" s="172"/>
      <c r="U40" s="172"/>
      <c r="V40" s="172"/>
      <c r="W40" s="172"/>
      <c r="X40" s="172"/>
      <c r="Y40" s="172"/>
      <c r="Z40" s="172"/>
      <c r="AA40" s="172"/>
      <c r="AB40" s="106"/>
      <c r="AC40" s="106"/>
      <c r="AD40" s="106"/>
      <c r="AG40" s="208" t="str">
        <f t="shared" si="0"/>
        <v/>
      </c>
    </row>
    <row r="41" spans="2:33" ht="15" hidden="1" customHeight="1">
      <c r="C41" s="85"/>
      <c r="D41" s="431"/>
      <c r="E41" s="86"/>
      <c r="F41" s="86"/>
      <c r="G41" s="172"/>
      <c r="H41" s="172"/>
      <c r="I41" s="172"/>
      <c r="J41" s="172"/>
      <c r="K41" s="172"/>
      <c r="L41" s="172"/>
      <c r="M41" s="172"/>
      <c r="N41" s="172"/>
      <c r="O41" s="172"/>
      <c r="P41" s="106"/>
      <c r="Q41" s="106"/>
      <c r="R41" s="106"/>
      <c r="S41" s="106"/>
      <c r="T41" s="172"/>
      <c r="U41" s="172"/>
      <c r="V41" s="172"/>
      <c r="W41" s="172"/>
      <c r="X41" s="172"/>
      <c r="Y41" s="172"/>
      <c r="Z41" s="172"/>
      <c r="AA41" s="172"/>
      <c r="AB41" s="106"/>
      <c r="AC41" s="106"/>
      <c r="AD41" s="106"/>
      <c r="AG41" s="208" t="str">
        <f t="shared" si="0"/>
        <v/>
      </c>
    </row>
    <row r="42" spans="2:33" ht="15" hidden="1" customHeight="1">
      <c r="C42" s="85"/>
      <c r="D42" s="431"/>
      <c r="E42" s="86"/>
      <c r="F42" s="86"/>
      <c r="G42" s="172"/>
      <c r="H42" s="172"/>
      <c r="I42" s="172"/>
      <c r="J42" s="172"/>
      <c r="K42" s="172"/>
      <c r="L42" s="172"/>
      <c r="M42" s="172"/>
      <c r="N42" s="172"/>
      <c r="O42" s="172"/>
      <c r="P42" s="106"/>
      <c r="Q42" s="106"/>
      <c r="R42" s="106"/>
      <c r="S42" s="106"/>
      <c r="T42" s="172"/>
      <c r="U42" s="172"/>
      <c r="V42" s="172"/>
      <c r="W42" s="172"/>
      <c r="X42" s="172"/>
      <c r="Y42" s="172"/>
      <c r="Z42" s="172"/>
      <c r="AA42" s="172"/>
      <c r="AB42" s="106"/>
      <c r="AC42" s="106"/>
      <c r="AD42" s="106"/>
      <c r="AG42" s="208" t="str">
        <f t="shared" si="0"/>
        <v/>
      </c>
    </row>
    <row r="43" spans="2:33" ht="15" hidden="1" customHeight="1">
      <c r="C43" s="85"/>
      <c r="D43" s="431"/>
      <c r="E43" s="86"/>
      <c r="F43" s="86"/>
      <c r="G43" s="172"/>
      <c r="H43" s="172"/>
      <c r="I43" s="172"/>
      <c r="J43" s="172"/>
      <c r="K43" s="172"/>
      <c r="L43" s="172"/>
      <c r="M43" s="172"/>
      <c r="N43" s="172"/>
      <c r="O43" s="172"/>
      <c r="P43" s="106"/>
      <c r="Q43" s="106"/>
      <c r="R43" s="106"/>
      <c r="S43" s="106"/>
      <c r="T43" s="172"/>
      <c r="U43" s="172"/>
      <c r="V43" s="172"/>
      <c r="W43" s="172"/>
      <c r="X43" s="172"/>
      <c r="Y43" s="172"/>
      <c r="Z43" s="172"/>
      <c r="AA43" s="172"/>
      <c r="AB43" s="106"/>
      <c r="AC43" s="106"/>
      <c r="AD43" s="106"/>
      <c r="AG43" s="208" t="str">
        <f t="shared" si="0"/>
        <v/>
      </c>
    </row>
    <row r="44" spans="2:33" ht="15">
      <c r="C44" s="85"/>
      <c r="D44" s="431"/>
      <c r="E44" s="86"/>
      <c r="F44" s="86"/>
      <c r="G44" s="172"/>
      <c r="H44" s="172"/>
      <c r="I44" s="172"/>
      <c r="J44" s="172"/>
      <c r="K44" s="172"/>
      <c r="L44" s="172"/>
      <c r="M44" s="172"/>
      <c r="N44" s="172"/>
      <c r="O44" s="172"/>
      <c r="P44" s="106"/>
      <c r="Q44" s="106"/>
      <c r="R44" s="106"/>
      <c r="S44" s="106"/>
      <c r="T44" s="172"/>
      <c r="U44" s="172"/>
      <c r="V44" s="172"/>
      <c r="W44" s="172"/>
      <c r="X44" s="172"/>
      <c r="Y44" s="172"/>
      <c r="Z44" s="172"/>
      <c r="AA44" s="172"/>
      <c r="AB44" s="106"/>
      <c r="AC44" s="106"/>
      <c r="AD44" s="106"/>
      <c r="AG44" s="208" t="str">
        <f t="shared" si="0"/>
        <v/>
      </c>
    </row>
    <row r="45" spans="2:33" ht="15">
      <c r="C45" s="165"/>
      <c r="D45" s="432"/>
      <c r="E45" s="166"/>
      <c r="F45" s="166"/>
      <c r="G45" s="173"/>
      <c r="H45" s="173"/>
      <c r="I45" s="173"/>
      <c r="J45" s="173"/>
      <c r="K45" s="173"/>
      <c r="L45" s="173"/>
      <c r="M45" s="173"/>
      <c r="N45" s="173"/>
      <c r="O45" s="173"/>
      <c r="P45" s="109"/>
      <c r="Q45" s="109"/>
      <c r="R45" s="109"/>
      <c r="S45" s="109"/>
      <c r="T45" s="173"/>
      <c r="U45" s="173"/>
      <c r="V45" s="173"/>
      <c r="W45" s="173"/>
      <c r="X45" s="173"/>
      <c r="Y45" s="173"/>
      <c r="Z45" s="173"/>
      <c r="AA45" s="173"/>
      <c r="AB45" s="109"/>
      <c r="AC45" s="109"/>
      <c r="AD45" s="109"/>
      <c r="AG45" s="208" t="str">
        <f t="shared" si="0"/>
        <v/>
      </c>
    </row>
    <row r="46" spans="2:33" ht="7.5" customHeight="1"/>
    <row r="47" spans="2:33" ht="12" customHeight="1">
      <c r="B47" s="164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Q17" sqref="Q17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11.140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2.75" hidden="1" customHeight="1"/>
    <row r="2" spans="1:22" ht="21">
      <c r="A2" s="688" t="str">
        <f>封面!$A$4</f>
        <v>彰化縣地方教育發展基金－彰化縣秀水鄉馬興國民小學</v>
      </c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688"/>
      <c r="P2" s="688"/>
      <c r="Q2" s="688"/>
      <c r="R2" s="688"/>
      <c r="S2" s="688"/>
      <c r="T2" s="688"/>
      <c r="U2" s="688"/>
      <c r="V2" s="688"/>
    </row>
    <row r="3" spans="1:22" ht="21">
      <c r="A3" s="690" t="s">
        <v>0</v>
      </c>
      <c r="B3" s="690"/>
      <c r="C3" s="690"/>
      <c r="D3" s="690"/>
      <c r="E3" s="690"/>
      <c r="F3" s="690"/>
      <c r="G3" s="690"/>
      <c r="H3" s="690"/>
      <c r="I3" s="690"/>
      <c r="J3" s="690"/>
      <c r="K3" s="690"/>
      <c r="L3" s="690"/>
      <c r="M3" s="690"/>
      <c r="N3" s="690"/>
      <c r="O3" s="690"/>
      <c r="P3" s="690"/>
      <c r="Q3" s="690"/>
      <c r="R3" s="690"/>
      <c r="S3" s="690"/>
      <c r="T3" s="690"/>
      <c r="U3" s="690"/>
      <c r="V3" s="690"/>
    </row>
    <row r="4" spans="1:22" ht="19.5">
      <c r="A4" s="691" t="str">
        <f>封面!$E$10&amp;封面!$H$10&amp;封面!$I$10&amp;封面!$J$10&amp;封面!$K$10&amp;封面!$O$10&amp;"日"</f>
        <v>中華民國112年7月31日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  <c r="T4" s="691"/>
      <c r="U4" s="691"/>
      <c r="V4" s="691"/>
    </row>
    <row r="5" spans="1:22" ht="2.25" customHeight="1"/>
    <row r="6" spans="1:22" ht="15.75" customHeight="1">
      <c r="A6" s="689" t="s">
        <v>1</v>
      </c>
      <c r="B6" s="689"/>
      <c r="C6" s="689"/>
      <c r="D6" s="689"/>
      <c r="E6" s="689"/>
      <c r="F6" s="689"/>
      <c r="G6" s="689"/>
      <c r="H6" s="689"/>
      <c r="I6" s="689"/>
      <c r="J6" s="689"/>
      <c r="K6" s="689"/>
      <c r="L6" s="689"/>
      <c r="M6" s="689"/>
      <c r="N6" s="689"/>
      <c r="O6" s="689"/>
      <c r="P6" s="689"/>
      <c r="Q6" s="689"/>
      <c r="R6" s="689"/>
      <c r="S6" s="689"/>
      <c r="T6" s="689"/>
      <c r="U6" s="689"/>
      <c r="V6" s="689"/>
    </row>
    <row r="7" spans="1:22" ht="2.25" customHeight="1">
      <c r="A7" s="2"/>
      <c r="B7" s="2"/>
      <c r="C7" s="2"/>
      <c r="D7" s="2"/>
      <c r="E7" s="2"/>
      <c r="F7" s="2"/>
      <c r="G7" s="336"/>
      <c r="K7" s="2"/>
      <c r="L7" s="2"/>
      <c r="M7" s="2"/>
      <c r="N7" s="2"/>
      <c r="O7" s="2"/>
      <c r="P7" s="2"/>
      <c r="Q7" s="2"/>
      <c r="R7" s="336"/>
      <c r="S7" s="336"/>
      <c r="T7" s="336"/>
    </row>
    <row r="8" spans="1:22" ht="14.25" hidden="1" customHeight="1">
      <c r="A8" s="692" t="s">
        <v>2</v>
      </c>
      <c r="B8" s="692"/>
      <c r="C8" s="692"/>
      <c r="D8" s="692"/>
      <c r="E8" s="692"/>
      <c r="F8" s="692"/>
      <c r="G8" s="326"/>
      <c r="H8" s="1"/>
      <c r="I8" s="1"/>
      <c r="J8" s="449"/>
      <c r="K8" s="693" t="s">
        <v>3</v>
      </c>
      <c r="L8" s="693"/>
      <c r="M8" s="693"/>
      <c r="N8" s="693"/>
      <c r="O8" s="693"/>
      <c r="P8" s="693"/>
      <c r="Q8" s="694"/>
      <c r="R8" s="326"/>
      <c r="S8" s="326"/>
      <c r="T8" s="326"/>
      <c r="U8" s="1"/>
      <c r="V8" s="1"/>
    </row>
    <row r="9" spans="1:22" ht="18" customHeight="1">
      <c r="A9" s="692"/>
      <c r="B9" s="692"/>
      <c r="C9" s="692"/>
      <c r="D9" s="692"/>
      <c r="E9" s="692"/>
      <c r="F9" s="692"/>
      <c r="G9" s="326"/>
      <c r="H9" s="692" t="s">
        <v>4</v>
      </c>
      <c r="I9" s="692" t="s">
        <v>5</v>
      </c>
      <c r="J9" s="449"/>
      <c r="K9" s="693"/>
      <c r="L9" s="693"/>
      <c r="M9" s="693"/>
      <c r="N9" s="693"/>
      <c r="O9" s="693"/>
      <c r="P9" s="693"/>
      <c r="Q9" s="694"/>
      <c r="R9" s="326"/>
      <c r="S9" s="326"/>
      <c r="T9" s="695" t="s">
        <v>4</v>
      </c>
      <c r="U9" s="696"/>
      <c r="V9" s="692" t="s">
        <v>5</v>
      </c>
    </row>
    <row r="10" spans="1:22" ht="12.75" hidden="1" customHeight="1">
      <c r="A10" s="1"/>
      <c r="B10" s="1"/>
      <c r="C10" s="1"/>
      <c r="D10" s="1"/>
      <c r="E10" s="1"/>
      <c r="F10" s="1"/>
      <c r="G10" s="1"/>
      <c r="H10" s="692"/>
      <c r="I10" s="692"/>
      <c r="J10" s="1"/>
      <c r="K10" s="1"/>
      <c r="L10" s="1"/>
      <c r="M10" s="1"/>
      <c r="N10" s="1"/>
      <c r="O10" s="1"/>
      <c r="P10" s="1"/>
      <c r="Q10" s="1"/>
      <c r="R10" s="1"/>
      <c r="S10" s="1"/>
      <c r="T10" s="697"/>
      <c r="U10" s="697"/>
      <c r="V10" s="692"/>
    </row>
    <row r="11" spans="1:22" ht="18" customHeight="1">
      <c r="A11" s="692" t="s">
        <v>6</v>
      </c>
      <c r="B11" s="692"/>
      <c r="C11" s="692"/>
      <c r="D11" s="692"/>
      <c r="E11" s="692"/>
      <c r="F11" s="692" t="s">
        <v>7</v>
      </c>
      <c r="G11" s="326"/>
      <c r="H11" s="692"/>
      <c r="I11" s="692"/>
      <c r="J11" s="449"/>
      <c r="K11" s="693" t="s">
        <v>6</v>
      </c>
      <c r="L11" s="693"/>
      <c r="M11" s="693"/>
      <c r="N11" s="693"/>
      <c r="O11" s="694"/>
      <c r="P11" s="326"/>
      <c r="Q11" s="692" t="s">
        <v>7</v>
      </c>
      <c r="R11" s="326"/>
      <c r="S11" s="326"/>
      <c r="T11" s="698"/>
      <c r="U11" s="698"/>
      <c r="V11" s="692"/>
    </row>
    <row r="12" spans="1:22" ht="14.25" hidden="1">
      <c r="A12" s="692"/>
      <c r="B12" s="692"/>
      <c r="C12" s="692"/>
      <c r="D12" s="692"/>
      <c r="E12" s="692"/>
      <c r="F12" s="692"/>
      <c r="G12" s="326"/>
      <c r="H12" s="1"/>
      <c r="I12" s="1"/>
      <c r="J12" s="449"/>
      <c r="K12" s="693"/>
      <c r="L12" s="693"/>
      <c r="M12" s="693"/>
      <c r="N12" s="693"/>
      <c r="O12" s="694"/>
      <c r="P12" s="326"/>
      <c r="Q12" s="692"/>
      <c r="R12" s="326"/>
      <c r="S12" s="326"/>
      <c r="T12" s="326"/>
      <c r="U12" s="1"/>
      <c r="V12" s="1"/>
    </row>
    <row r="13" spans="1:22" ht="14.25">
      <c r="A13" s="120" t="s">
        <v>464</v>
      </c>
      <c r="B13" s="121"/>
      <c r="C13" s="388"/>
      <c r="D13" s="388"/>
      <c r="E13" s="389"/>
      <c r="F13" s="123" t="s">
        <v>465</v>
      </c>
      <c r="G13" s="123"/>
      <c r="H13" s="124">
        <v>53880121</v>
      </c>
      <c r="I13" s="323">
        <v>100</v>
      </c>
      <c r="J13" s="450" t="s">
        <v>509</v>
      </c>
      <c r="K13" s="121"/>
      <c r="L13" s="121"/>
      <c r="M13" s="121"/>
      <c r="N13" s="121"/>
      <c r="O13" s="122"/>
      <c r="P13" s="122"/>
      <c r="Q13" s="125" t="s">
        <v>520</v>
      </c>
      <c r="R13" s="123"/>
      <c r="S13" s="123"/>
      <c r="T13" s="686">
        <v>8326736</v>
      </c>
      <c r="U13" s="687"/>
      <c r="V13" s="493">
        <v>15.454189495973852</v>
      </c>
    </row>
    <row r="14" spans="1:22" ht="14.25">
      <c r="A14" s="335"/>
      <c r="B14" s="127" t="s">
        <v>466</v>
      </c>
      <c r="C14" s="370"/>
      <c r="D14" s="370"/>
      <c r="E14" s="371"/>
      <c r="F14" s="133" t="s">
        <v>467</v>
      </c>
      <c r="G14" s="133"/>
      <c r="H14" s="130">
        <v>11335730</v>
      </c>
      <c r="I14" s="324">
        <v>21.038798335289556</v>
      </c>
      <c r="J14" s="134"/>
      <c r="K14" s="127" t="s">
        <v>510</v>
      </c>
      <c r="L14" s="127"/>
      <c r="M14" s="127"/>
      <c r="N14" s="127"/>
      <c r="O14" s="128"/>
      <c r="P14" s="128"/>
      <c r="Q14" s="131" t="s">
        <v>521</v>
      </c>
      <c r="R14" s="133"/>
      <c r="S14" s="133"/>
      <c r="T14" s="680">
        <v>4540774</v>
      </c>
      <c r="U14" s="681"/>
      <c r="V14" s="494">
        <v>8.4275497451091468</v>
      </c>
    </row>
    <row r="15" spans="1:22" ht="14.25">
      <c r="A15" s="335"/>
      <c r="B15" s="127"/>
      <c r="C15" s="370" t="s">
        <v>468</v>
      </c>
      <c r="D15" s="370"/>
      <c r="E15" s="371"/>
      <c r="F15" s="133" t="s">
        <v>469</v>
      </c>
      <c r="G15" s="133"/>
      <c r="H15" s="130">
        <v>11331922</v>
      </c>
      <c r="I15" s="324">
        <v>21.031730793626096</v>
      </c>
      <c r="J15" s="134"/>
      <c r="K15" s="127"/>
      <c r="L15" s="127" t="s">
        <v>511</v>
      </c>
      <c r="M15" s="127"/>
      <c r="N15" s="127"/>
      <c r="O15" s="128"/>
      <c r="P15" s="128"/>
      <c r="Q15" s="131" t="s">
        <v>522</v>
      </c>
      <c r="R15" s="133"/>
      <c r="S15" s="133"/>
      <c r="T15" s="680">
        <v>4540774</v>
      </c>
      <c r="U15" s="681"/>
      <c r="V15" s="494">
        <v>8.4275497451091468</v>
      </c>
    </row>
    <row r="16" spans="1:22" ht="14.25">
      <c r="A16" s="335"/>
      <c r="B16" s="127"/>
      <c r="C16" s="370"/>
      <c r="D16" s="370" t="s">
        <v>470</v>
      </c>
      <c r="E16" s="371"/>
      <c r="F16" s="133" t="s">
        <v>471</v>
      </c>
      <c r="G16" s="133"/>
      <c r="H16" s="130">
        <v>11291922</v>
      </c>
      <c r="I16" s="324">
        <v>20.95749191060651</v>
      </c>
      <c r="J16" s="134"/>
      <c r="K16" s="127"/>
      <c r="L16" s="127"/>
      <c r="M16" s="127" t="s">
        <v>512</v>
      </c>
      <c r="N16" s="127"/>
      <c r="O16" s="128"/>
      <c r="P16" s="128"/>
      <c r="Q16" s="131" t="s">
        <v>523</v>
      </c>
      <c r="R16" s="133"/>
      <c r="S16" s="133"/>
      <c r="T16" s="680">
        <v>4540774</v>
      </c>
      <c r="U16" s="681"/>
      <c r="V16" s="494">
        <v>8.4275497451091468</v>
      </c>
    </row>
    <row r="17" spans="1:22" ht="14.25">
      <c r="A17" s="335"/>
      <c r="B17" s="127"/>
      <c r="C17" s="370"/>
      <c r="D17" s="370"/>
      <c r="E17" s="371" t="s">
        <v>472</v>
      </c>
      <c r="F17" s="133" t="s">
        <v>473</v>
      </c>
      <c r="G17" s="133"/>
      <c r="H17" s="130">
        <v>2968994</v>
      </c>
      <c r="I17" s="324">
        <v>5.5103699562961266</v>
      </c>
      <c r="J17" s="134"/>
      <c r="K17" s="127"/>
      <c r="L17" s="127"/>
      <c r="M17" s="127" t="s">
        <v>513</v>
      </c>
      <c r="N17" s="127"/>
      <c r="O17" s="128"/>
      <c r="P17" s="128"/>
      <c r="Q17" s="131" t="s">
        <v>524</v>
      </c>
      <c r="R17" s="133"/>
      <c r="S17" s="133"/>
      <c r="T17" s="680">
        <v>0</v>
      </c>
      <c r="U17" s="681"/>
      <c r="V17" s="494">
        <v>0</v>
      </c>
    </row>
    <row r="18" spans="1:22" ht="14.25">
      <c r="A18" s="335"/>
      <c r="B18" s="127"/>
      <c r="C18" s="370"/>
      <c r="D18" s="370"/>
      <c r="E18" s="371" t="s">
        <v>474</v>
      </c>
      <c r="F18" s="133" t="s">
        <v>475</v>
      </c>
      <c r="G18" s="133"/>
      <c r="H18" s="130">
        <v>8322928</v>
      </c>
      <c r="I18" s="324">
        <v>15.447121954310385</v>
      </c>
      <c r="J18" s="134"/>
      <c r="K18" s="127" t="s">
        <v>514</v>
      </c>
      <c r="L18" s="127"/>
      <c r="M18" s="127"/>
      <c r="N18" s="127"/>
      <c r="O18" s="128"/>
      <c r="P18" s="128"/>
      <c r="Q18" s="131" t="s">
        <v>525</v>
      </c>
      <c r="R18" s="133"/>
      <c r="S18" s="133"/>
      <c r="T18" s="680">
        <v>3785962</v>
      </c>
      <c r="U18" s="681"/>
      <c r="V18" s="494">
        <v>7.0266397508647014</v>
      </c>
    </row>
    <row r="19" spans="1:22" ht="14.25">
      <c r="A19" s="335"/>
      <c r="B19" s="127"/>
      <c r="C19" s="370"/>
      <c r="D19" s="370" t="s">
        <v>476</v>
      </c>
      <c r="E19" s="371"/>
      <c r="F19" s="133" t="s">
        <v>477</v>
      </c>
      <c r="G19" s="133"/>
      <c r="H19" s="130">
        <v>40000</v>
      </c>
      <c r="I19" s="324">
        <v>7.4238883019583424E-2</v>
      </c>
      <c r="J19" s="134"/>
      <c r="K19" s="127"/>
      <c r="L19" s="127" t="s">
        <v>515</v>
      </c>
      <c r="M19" s="127"/>
      <c r="N19" s="127"/>
      <c r="O19" s="128"/>
      <c r="P19" s="128"/>
      <c r="Q19" s="131" t="s">
        <v>526</v>
      </c>
      <c r="R19" s="133"/>
      <c r="S19" s="133"/>
      <c r="T19" s="680">
        <v>3785962</v>
      </c>
      <c r="U19" s="681"/>
      <c r="V19" s="494">
        <v>7.0266397508647014</v>
      </c>
    </row>
    <row r="20" spans="1:22" ht="14.25">
      <c r="A20" s="335"/>
      <c r="B20" s="127"/>
      <c r="C20" s="370" t="s">
        <v>478</v>
      </c>
      <c r="D20" s="370"/>
      <c r="E20" s="371"/>
      <c r="F20" s="133" t="s">
        <v>479</v>
      </c>
      <c r="G20" s="133"/>
      <c r="H20" s="130">
        <v>3808</v>
      </c>
      <c r="I20" s="324">
        <v>7.0675416634643409E-3</v>
      </c>
      <c r="J20" s="134"/>
      <c r="K20" s="127"/>
      <c r="L20" s="127"/>
      <c r="M20" s="127" t="s">
        <v>516</v>
      </c>
      <c r="N20" s="127"/>
      <c r="O20" s="128"/>
      <c r="P20" s="128"/>
      <c r="Q20" s="131" t="s">
        <v>527</v>
      </c>
      <c r="R20" s="133"/>
      <c r="S20" s="133"/>
      <c r="T20" s="680">
        <v>3785962</v>
      </c>
      <c r="U20" s="681"/>
      <c r="V20" s="494">
        <v>7.0266397508647014</v>
      </c>
    </row>
    <row r="21" spans="1:22" ht="14.25">
      <c r="A21" s="335"/>
      <c r="B21" s="127"/>
      <c r="C21" s="370"/>
      <c r="D21" s="370" t="s">
        <v>480</v>
      </c>
      <c r="E21" s="371"/>
      <c r="F21" s="133" t="s">
        <v>481</v>
      </c>
      <c r="G21" s="133"/>
      <c r="H21" s="130">
        <v>3808</v>
      </c>
      <c r="I21" s="324">
        <v>7.0675416634643409E-3</v>
      </c>
      <c r="J21" s="134" t="s">
        <v>517</v>
      </c>
      <c r="K21" s="127"/>
      <c r="L21" s="127"/>
      <c r="M21" s="127"/>
      <c r="N21" s="127"/>
      <c r="O21" s="128"/>
      <c r="P21" s="128"/>
      <c r="Q21" s="131" t="s">
        <v>528</v>
      </c>
      <c r="R21" s="133"/>
      <c r="S21" s="133"/>
      <c r="T21" s="680">
        <v>45553385</v>
      </c>
      <c r="U21" s="681"/>
      <c r="V21" s="494">
        <v>84.545810504026164</v>
      </c>
    </row>
    <row r="22" spans="1:22" ht="14.25">
      <c r="A22" s="335"/>
      <c r="B22" s="127" t="s">
        <v>482</v>
      </c>
      <c r="C22" s="370"/>
      <c r="D22" s="370"/>
      <c r="E22" s="371"/>
      <c r="F22" s="133" t="s">
        <v>483</v>
      </c>
      <c r="G22" s="133"/>
      <c r="H22" s="130">
        <v>42544391</v>
      </c>
      <c r="I22" s="324">
        <v>78.961201664710444</v>
      </c>
      <c r="J22" s="134"/>
      <c r="K22" s="127" t="s">
        <v>517</v>
      </c>
      <c r="L22" s="127"/>
      <c r="M22" s="127"/>
      <c r="N22" s="127"/>
      <c r="O22" s="128"/>
      <c r="P22" s="128"/>
      <c r="Q22" s="131" t="s">
        <v>529</v>
      </c>
      <c r="R22" s="133"/>
      <c r="S22" s="133"/>
      <c r="T22" s="680">
        <v>45553385</v>
      </c>
      <c r="U22" s="681"/>
      <c r="V22" s="494">
        <v>84.545810504026164</v>
      </c>
    </row>
    <row r="23" spans="1:22" ht="14.25">
      <c r="A23" s="335"/>
      <c r="B23" s="127"/>
      <c r="C23" s="127" t="s">
        <v>44</v>
      </c>
      <c r="D23" s="127"/>
      <c r="E23" s="128"/>
      <c r="F23" s="133" t="s">
        <v>484</v>
      </c>
      <c r="G23" s="133"/>
      <c r="H23" s="130">
        <v>11027358</v>
      </c>
      <c r="I23" s="324">
        <v>20.466468514426683</v>
      </c>
      <c r="J23" s="134"/>
      <c r="K23" s="127"/>
      <c r="L23" s="127" t="s">
        <v>517</v>
      </c>
      <c r="M23" s="127"/>
      <c r="N23" s="127"/>
      <c r="O23" s="128"/>
      <c r="P23" s="128"/>
      <c r="Q23" s="131" t="s">
        <v>530</v>
      </c>
      <c r="R23" s="133"/>
      <c r="S23" s="133"/>
      <c r="T23" s="680">
        <v>45553385</v>
      </c>
      <c r="U23" s="681"/>
      <c r="V23" s="494">
        <v>84.545810504026164</v>
      </c>
    </row>
    <row r="24" spans="1:22" ht="14.25">
      <c r="A24" s="335"/>
      <c r="B24" s="127"/>
      <c r="C24" s="127"/>
      <c r="D24" s="127" t="s">
        <v>44</v>
      </c>
      <c r="E24" s="128"/>
      <c r="F24" s="133" t="s">
        <v>485</v>
      </c>
      <c r="G24" s="133"/>
      <c r="H24" s="130">
        <v>11027358</v>
      </c>
      <c r="I24" s="324">
        <v>20.466468514426683</v>
      </c>
      <c r="J24" s="134"/>
      <c r="K24" s="127"/>
      <c r="L24" s="127"/>
      <c r="M24" s="127" t="s">
        <v>518</v>
      </c>
      <c r="N24" s="127"/>
      <c r="O24" s="128"/>
      <c r="P24" s="128"/>
      <c r="Q24" s="131" t="s">
        <v>531</v>
      </c>
      <c r="R24" s="133"/>
      <c r="S24" s="133"/>
      <c r="T24" s="680">
        <v>42779832</v>
      </c>
      <c r="U24" s="681"/>
      <c r="V24" s="494">
        <v>79.398173586135783</v>
      </c>
    </row>
    <row r="25" spans="1:22" ht="15">
      <c r="A25" s="126"/>
      <c r="B25" s="127"/>
      <c r="C25" s="127" t="s">
        <v>45</v>
      </c>
      <c r="D25" s="127"/>
      <c r="E25" s="128"/>
      <c r="F25" s="129" t="s">
        <v>486</v>
      </c>
      <c r="G25" s="129"/>
      <c r="H25" s="130">
        <v>2511696</v>
      </c>
      <c r="I25" s="324">
        <v>4.66163763811889</v>
      </c>
      <c r="J25" s="134"/>
      <c r="K25" s="132"/>
      <c r="L25" s="127"/>
      <c r="M25" s="127" t="s">
        <v>519</v>
      </c>
      <c r="N25" s="127"/>
      <c r="O25" s="128"/>
      <c r="P25" s="128"/>
      <c r="Q25" s="131" t="s">
        <v>532</v>
      </c>
      <c r="R25" s="133"/>
      <c r="S25" s="133"/>
      <c r="T25" s="680">
        <v>2773553</v>
      </c>
      <c r="U25" s="681"/>
      <c r="V25" s="494">
        <v>5.1476369178903667</v>
      </c>
    </row>
    <row r="26" spans="1:22" ht="15">
      <c r="A26" s="126"/>
      <c r="B26" s="127"/>
      <c r="C26" s="127"/>
      <c r="D26" s="127" t="s">
        <v>45</v>
      </c>
      <c r="E26" s="128"/>
      <c r="F26" s="129" t="s">
        <v>487</v>
      </c>
      <c r="G26" s="129"/>
      <c r="H26" s="130">
        <v>5137300</v>
      </c>
      <c r="I26" s="324">
        <v>9.5346853434126473</v>
      </c>
      <c r="J26" s="134" t="s">
        <v>507</v>
      </c>
      <c r="K26" s="132"/>
      <c r="L26" s="127"/>
      <c r="M26" s="127"/>
      <c r="N26" s="127"/>
      <c r="O26" s="128"/>
      <c r="P26" s="128"/>
      <c r="Q26" s="131"/>
      <c r="R26" s="133"/>
      <c r="S26" s="133"/>
      <c r="T26" s="680">
        <v>53880121</v>
      </c>
      <c r="U26" s="681"/>
      <c r="V26" s="494">
        <v>0</v>
      </c>
    </row>
    <row r="27" spans="1:22" ht="15">
      <c r="A27" s="126"/>
      <c r="B27" s="127"/>
      <c r="C27" s="127"/>
      <c r="D27" s="127" t="s">
        <v>488</v>
      </c>
      <c r="E27" s="128"/>
      <c r="F27" s="129" t="s">
        <v>489</v>
      </c>
      <c r="G27" s="129"/>
      <c r="H27" s="130">
        <v>-2625604</v>
      </c>
      <c r="I27" s="324">
        <v>-4.8730477052937573</v>
      </c>
      <c r="J27" s="134"/>
      <c r="K27" s="132"/>
      <c r="L27" s="127"/>
      <c r="M27" s="127"/>
      <c r="N27" s="127"/>
      <c r="O27" s="128"/>
      <c r="P27" s="128"/>
      <c r="Q27" s="131"/>
      <c r="R27" s="133"/>
      <c r="S27" s="133"/>
      <c r="T27" s="680">
        <v>0</v>
      </c>
      <c r="U27" s="681"/>
      <c r="V27" s="494"/>
    </row>
    <row r="28" spans="1:22" ht="15">
      <c r="A28" s="126"/>
      <c r="B28" s="127"/>
      <c r="C28" s="127" t="s">
        <v>490</v>
      </c>
      <c r="D28" s="127"/>
      <c r="E28" s="128"/>
      <c r="F28" s="129" t="s">
        <v>491</v>
      </c>
      <c r="G28" s="129"/>
      <c r="H28" s="130">
        <v>21620850</v>
      </c>
      <c r="I28" s="324">
        <v>40.127693848349004</v>
      </c>
      <c r="J28" s="134"/>
      <c r="K28" s="132"/>
      <c r="L28" s="127"/>
      <c r="M28" s="127"/>
      <c r="N28" s="127"/>
      <c r="O28" s="128"/>
      <c r="P28" s="128"/>
      <c r="Q28" s="131"/>
      <c r="R28" s="133"/>
      <c r="S28" s="133"/>
      <c r="T28" s="680"/>
      <c r="U28" s="681"/>
      <c r="V28" s="494"/>
    </row>
    <row r="29" spans="1:22" ht="15">
      <c r="A29" s="126"/>
      <c r="B29" s="127"/>
      <c r="C29" s="127"/>
      <c r="D29" s="127" t="s">
        <v>490</v>
      </c>
      <c r="E29" s="128"/>
      <c r="F29" s="129" t="s">
        <v>492</v>
      </c>
      <c r="G29" s="129"/>
      <c r="H29" s="130">
        <v>48369404</v>
      </c>
      <c r="I29" s="324">
        <v>89.772263132074258</v>
      </c>
      <c r="J29" s="134"/>
      <c r="K29" s="132"/>
      <c r="L29" s="127"/>
      <c r="M29" s="127"/>
      <c r="N29" s="127"/>
      <c r="O29" s="128"/>
      <c r="P29" s="128"/>
      <c r="Q29" s="131"/>
      <c r="R29" s="133"/>
      <c r="S29" s="133"/>
      <c r="T29" s="678"/>
      <c r="U29" s="679"/>
      <c r="V29" s="494"/>
    </row>
    <row r="30" spans="1:22" ht="15">
      <c r="A30" s="126"/>
      <c r="B30" s="127"/>
      <c r="C30" s="127"/>
      <c r="D30" s="127" t="s">
        <v>493</v>
      </c>
      <c r="E30" s="128"/>
      <c r="F30" s="129" t="s">
        <v>494</v>
      </c>
      <c r="G30" s="129"/>
      <c r="H30" s="130">
        <v>-26748554</v>
      </c>
      <c r="I30" s="324">
        <v>-49.644569283725247</v>
      </c>
      <c r="J30" s="134"/>
      <c r="K30" s="132"/>
      <c r="L30" s="127"/>
      <c r="M30" s="127"/>
      <c r="N30" s="127"/>
      <c r="O30" s="128"/>
      <c r="P30" s="128"/>
      <c r="Q30" s="131"/>
      <c r="R30" s="133"/>
      <c r="S30" s="133"/>
      <c r="T30" s="678"/>
      <c r="U30" s="679"/>
      <c r="V30" s="494"/>
    </row>
    <row r="31" spans="1:22" ht="15">
      <c r="A31" s="126"/>
      <c r="B31" s="127"/>
      <c r="C31" s="127" t="s">
        <v>47</v>
      </c>
      <c r="D31" s="127"/>
      <c r="E31" s="128"/>
      <c r="F31" s="129" t="s">
        <v>495</v>
      </c>
      <c r="G31" s="129"/>
      <c r="H31" s="130">
        <v>1789768</v>
      </c>
      <c r="I31" s="324">
        <v>3.3217594296048447</v>
      </c>
      <c r="J31" s="134"/>
      <c r="K31" s="132"/>
      <c r="L31" s="127"/>
      <c r="M31" s="127"/>
      <c r="N31" s="127"/>
      <c r="O31" s="128"/>
      <c r="P31" s="128"/>
      <c r="Q31" s="131"/>
      <c r="R31" s="133"/>
      <c r="S31" s="133"/>
      <c r="T31" s="678"/>
      <c r="U31" s="679"/>
      <c r="V31" s="494"/>
    </row>
    <row r="32" spans="1:22" ht="15">
      <c r="A32" s="126"/>
      <c r="B32" s="127"/>
      <c r="C32" s="127"/>
      <c r="D32" s="127" t="s">
        <v>47</v>
      </c>
      <c r="E32" s="128"/>
      <c r="F32" s="129" t="s">
        <v>496</v>
      </c>
      <c r="G32" s="129"/>
      <c r="H32" s="130">
        <v>6402566</v>
      </c>
      <c r="I32" s="324">
        <v>11.882983707479053</v>
      </c>
      <c r="J32" s="134"/>
      <c r="K32" s="132"/>
      <c r="L32" s="127"/>
      <c r="M32" s="127"/>
      <c r="N32" s="127"/>
      <c r="O32" s="128"/>
      <c r="P32" s="128"/>
      <c r="Q32" s="131"/>
      <c r="R32" s="133"/>
      <c r="S32" s="133"/>
      <c r="T32" s="678"/>
      <c r="U32" s="679"/>
      <c r="V32" s="494"/>
    </row>
    <row r="33" spans="1:22" ht="15">
      <c r="A33" s="126"/>
      <c r="B33" s="127"/>
      <c r="C33" s="127"/>
      <c r="D33" s="127" t="s">
        <v>497</v>
      </c>
      <c r="E33" s="128"/>
      <c r="F33" s="129" t="s">
        <v>498</v>
      </c>
      <c r="G33" s="129"/>
      <c r="H33" s="130">
        <v>-4612798</v>
      </c>
      <c r="I33" s="324">
        <v>-8.5612242778742083</v>
      </c>
      <c r="J33" s="134"/>
      <c r="K33" s="132"/>
      <c r="L33" s="127"/>
      <c r="M33" s="127"/>
      <c r="N33" s="127"/>
      <c r="O33" s="128"/>
      <c r="P33" s="128"/>
      <c r="Q33" s="131"/>
      <c r="R33" s="133"/>
      <c r="S33" s="133"/>
      <c r="T33" s="678"/>
      <c r="U33" s="679"/>
      <c r="V33" s="494"/>
    </row>
    <row r="34" spans="1:22" ht="15">
      <c r="A34" s="126"/>
      <c r="B34" s="127"/>
      <c r="C34" s="127" t="s">
        <v>48</v>
      </c>
      <c r="D34" s="127"/>
      <c r="E34" s="128"/>
      <c r="F34" s="129" t="s">
        <v>499</v>
      </c>
      <c r="G34" s="129"/>
      <c r="H34" s="130">
        <v>111846</v>
      </c>
      <c r="I34" s="324">
        <v>0.20758305275520819</v>
      </c>
      <c r="J34" s="134"/>
      <c r="K34" s="132"/>
      <c r="L34" s="127"/>
      <c r="M34" s="127"/>
      <c r="N34" s="127"/>
      <c r="O34" s="128"/>
      <c r="P34" s="128"/>
      <c r="Q34" s="131"/>
      <c r="R34" s="133"/>
      <c r="S34" s="133"/>
      <c r="T34" s="678"/>
      <c r="U34" s="679"/>
      <c r="V34" s="494"/>
    </row>
    <row r="35" spans="1:22" ht="15">
      <c r="A35" s="126"/>
      <c r="B35" s="127"/>
      <c r="C35" s="127"/>
      <c r="D35" s="127" t="s">
        <v>48</v>
      </c>
      <c r="E35" s="128"/>
      <c r="F35" s="129" t="s">
        <v>500</v>
      </c>
      <c r="G35" s="129"/>
      <c r="H35" s="130">
        <v>634500</v>
      </c>
      <c r="I35" s="324">
        <v>1.1776142818981419</v>
      </c>
      <c r="J35" s="134"/>
      <c r="K35" s="132"/>
      <c r="L35" s="127"/>
      <c r="M35" s="127"/>
      <c r="N35" s="127"/>
      <c r="O35" s="128"/>
      <c r="P35" s="128"/>
      <c r="Q35" s="131"/>
      <c r="R35" s="133"/>
      <c r="S35" s="133"/>
      <c r="T35" s="678"/>
      <c r="U35" s="679"/>
      <c r="V35" s="494"/>
    </row>
    <row r="36" spans="1:22" ht="14.25">
      <c r="A36" s="126"/>
      <c r="B36" s="132"/>
      <c r="C36" s="127"/>
      <c r="D36" s="127" t="s">
        <v>501</v>
      </c>
      <c r="E36" s="128"/>
      <c r="F36" s="133" t="s">
        <v>502</v>
      </c>
      <c r="G36" s="133"/>
      <c r="H36" s="130">
        <v>-522654</v>
      </c>
      <c r="I36" s="324">
        <v>-0.97003122914293383</v>
      </c>
      <c r="J36" s="134"/>
      <c r="K36" s="132"/>
      <c r="L36" s="132"/>
      <c r="M36" s="127"/>
      <c r="N36" s="127"/>
      <c r="O36" s="128"/>
      <c r="P36" s="128"/>
      <c r="Q36" s="131"/>
      <c r="R36" s="133"/>
      <c r="S36" s="133"/>
      <c r="T36" s="678"/>
      <c r="U36" s="679"/>
      <c r="V36" s="494"/>
    </row>
    <row r="37" spans="1:22" ht="14.25">
      <c r="A37" s="126"/>
      <c r="B37" s="132"/>
      <c r="C37" s="132" t="s">
        <v>200</v>
      </c>
      <c r="D37" s="132"/>
      <c r="E37" s="128"/>
      <c r="F37" s="133" t="s">
        <v>503</v>
      </c>
      <c r="G37" s="133"/>
      <c r="H37" s="130">
        <v>5482873</v>
      </c>
      <c r="I37" s="324">
        <v>10.176059181455811</v>
      </c>
      <c r="J37" s="134"/>
      <c r="K37" s="132"/>
      <c r="L37" s="127"/>
      <c r="M37" s="127"/>
      <c r="N37" s="127"/>
      <c r="O37" s="128"/>
      <c r="P37" s="128"/>
      <c r="Q37" s="131"/>
      <c r="R37" s="133"/>
      <c r="S37" s="133"/>
      <c r="T37" s="678"/>
      <c r="U37" s="679"/>
      <c r="V37" s="494"/>
    </row>
    <row r="38" spans="1:22" ht="14.25">
      <c r="A38" s="126"/>
      <c r="B38" s="132"/>
      <c r="C38" s="132"/>
      <c r="D38" s="132" t="s">
        <v>200</v>
      </c>
      <c r="E38" s="128"/>
      <c r="F38" s="133" t="s">
        <v>504</v>
      </c>
      <c r="G38" s="133"/>
      <c r="H38" s="130">
        <v>10054233</v>
      </c>
      <c r="I38" s="324">
        <v>18.66037568846588</v>
      </c>
      <c r="J38" s="134"/>
      <c r="K38" s="132"/>
      <c r="L38" s="132"/>
      <c r="M38" s="127"/>
      <c r="N38" s="127"/>
      <c r="O38" s="128"/>
      <c r="P38" s="128"/>
      <c r="Q38" s="131"/>
      <c r="R38" s="133"/>
      <c r="S38" s="133"/>
      <c r="T38" s="678"/>
      <c r="U38" s="679"/>
      <c r="V38" s="494"/>
    </row>
    <row r="39" spans="1:22" ht="14.25">
      <c r="A39" s="126"/>
      <c r="B39" s="132"/>
      <c r="C39" s="132"/>
      <c r="D39" s="127" t="s">
        <v>505</v>
      </c>
      <c r="E39" s="128"/>
      <c r="F39" s="133" t="s">
        <v>506</v>
      </c>
      <c r="G39" s="133"/>
      <c r="H39" s="130">
        <v>-4571360</v>
      </c>
      <c r="I39" s="324">
        <v>-8.484316507010071</v>
      </c>
      <c r="J39" s="134"/>
      <c r="K39" s="132"/>
      <c r="L39" s="132"/>
      <c r="M39" s="132"/>
      <c r="N39" s="127"/>
      <c r="O39" s="128"/>
      <c r="P39" s="128"/>
      <c r="Q39" s="131"/>
      <c r="R39" s="133"/>
      <c r="S39" s="133"/>
      <c r="T39" s="678"/>
      <c r="U39" s="679"/>
      <c r="V39" s="494"/>
    </row>
    <row r="40" spans="1:22" ht="14.25">
      <c r="A40" s="126" t="s">
        <v>507</v>
      </c>
      <c r="B40" s="132"/>
      <c r="C40" s="127"/>
      <c r="D40" s="127"/>
      <c r="E40" s="128"/>
      <c r="F40" s="133"/>
      <c r="G40" s="133"/>
      <c r="H40" s="130">
        <v>53880121</v>
      </c>
      <c r="I40" s="324"/>
      <c r="J40" s="134"/>
      <c r="K40" s="132"/>
      <c r="L40" s="132"/>
      <c r="M40" s="132"/>
      <c r="N40" s="127"/>
      <c r="O40" s="128"/>
      <c r="P40" s="128"/>
      <c r="Q40" s="131"/>
      <c r="R40" s="133"/>
      <c r="S40" s="133"/>
      <c r="T40" s="678"/>
      <c r="U40" s="679"/>
      <c r="V40" s="494"/>
    </row>
    <row r="41" spans="1:22" ht="11.65" customHeight="1">
      <c r="A41" s="135"/>
      <c r="B41" s="136"/>
      <c r="C41" s="136"/>
      <c r="D41" s="136"/>
      <c r="E41" s="137"/>
      <c r="F41" s="138"/>
      <c r="G41" s="138"/>
      <c r="H41" s="139"/>
      <c r="I41" s="325"/>
      <c r="J41" s="138"/>
      <c r="K41" s="136"/>
      <c r="L41" s="136"/>
      <c r="M41" s="136"/>
      <c r="N41" s="136"/>
      <c r="O41" s="137"/>
      <c r="P41" s="137"/>
      <c r="Q41" s="139"/>
      <c r="R41" s="138"/>
      <c r="S41" s="138"/>
      <c r="T41" s="684"/>
      <c r="U41" s="685"/>
      <c r="V41" s="495"/>
    </row>
    <row r="42" spans="1:22" ht="14.25" customHeight="1">
      <c r="A42" s="682" t="s">
        <v>327</v>
      </c>
      <c r="B42" s="682"/>
      <c r="C42" s="682"/>
      <c r="D42" s="682"/>
      <c r="E42" s="682"/>
      <c r="F42" s="682"/>
      <c r="G42" s="683">
        <v>0</v>
      </c>
      <c r="H42" s="683"/>
      <c r="L42" s="682" t="s">
        <v>328</v>
      </c>
      <c r="M42" s="682"/>
      <c r="N42" s="682"/>
      <c r="O42" s="682"/>
      <c r="P42" s="682"/>
      <c r="Q42" s="682"/>
      <c r="R42" s="682"/>
      <c r="S42" s="683">
        <v>0</v>
      </c>
      <c r="T42" s="683"/>
      <c r="U42" s="683"/>
    </row>
    <row r="43" spans="1:22" ht="14.25">
      <c r="A43" s="677" t="s">
        <v>8</v>
      </c>
      <c r="B43" s="677"/>
      <c r="D43" s="544" t="s">
        <v>508</v>
      </c>
    </row>
  </sheetData>
  <mergeCells count="48">
    <mergeCell ref="T9:U11"/>
    <mergeCell ref="V9:V11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38:U38"/>
    <mergeCell ref="T39:U39"/>
    <mergeCell ref="T40:U40"/>
    <mergeCell ref="T25:U25"/>
    <mergeCell ref="T26:U26"/>
    <mergeCell ref="T27:U27"/>
    <mergeCell ref="T28:U28"/>
    <mergeCell ref="A43:B43"/>
    <mergeCell ref="T29:U29"/>
    <mergeCell ref="T30:U30"/>
    <mergeCell ref="T31:U31"/>
    <mergeCell ref="T24:U24"/>
    <mergeCell ref="A42:F42"/>
    <mergeCell ref="G42:H42"/>
    <mergeCell ref="L42:R42"/>
    <mergeCell ref="S42:U42"/>
    <mergeCell ref="T32:U32"/>
    <mergeCell ref="T33:U33"/>
    <mergeCell ref="T34:U34"/>
    <mergeCell ref="T35:U35"/>
    <mergeCell ref="T36:U36"/>
    <mergeCell ref="T41:U41"/>
    <mergeCell ref="T37:U37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Q17" sqref="Q17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5" t="str">
        <f>封面!$A$4</f>
        <v>彰化縣地方教育發展基金－彰化縣秀水鄉馬興國民小學</v>
      </c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706"/>
      <c r="M1" s="707"/>
    </row>
    <row r="2" spans="1:13">
      <c r="A2" s="706"/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7"/>
    </row>
    <row r="3" spans="1:13">
      <c r="M3" s="223"/>
    </row>
    <row r="4" spans="1:13" ht="23.25" customHeight="1">
      <c r="A4" s="708" t="s">
        <v>27</v>
      </c>
      <c r="B4" s="708"/>
      <c r="C4" s="708"/>
      <c r="D4" s="708"/>
      <c r="E4" s="708"/>
      <c r="F4" s="708"/>
      <c r="G4" s="708"/>
      <c r="H4" s="708"/>
      <c r="I4" s="708"/>
      <c r="J4" s="708"/>
      <c r="K4" s="708"/>
      <c r="L4" s="708"/>
      <c r="M4" s="708"/>
    </row>
    <row r="5" spans="1:13" ht="2.25" customHeight="1">
      <c r="A5" s="708"/>
      <c r="B5" s="708"/>
      <c r="C5" s="708"/>
      <c r="D5" s="708"/>
      <c r="E5" s="708"/>
      <c r="F5" s="708"/>
      <c r="G5" s="708"/>
      <c r="H5" s="708"/>
      <c r="I5" s="708"/>
      <c r="J5" s="708"/>
      <c r="K5" s="708"/>
      <c r="L5" s="708"/>
      <c r="M5" s="708"/>
    </row>
    <row r="6" spans="1:13" ht="16.5">
      <c r="A6" s="709" t="str">
        <f>封面!$E$10&amp;封面!$H$10&amp;封面!$I$10&amp;封面!$J$10&amp;封面!$K$10&amp;封面!L10</f>
        <v>中華民國112年7月份</v>
      </c>
      <c r="B6" s="709"/>
      <c r="C6" s="709"/>
      <c r="D6" s="709"/>
      <c r="E6" s="709"/>
      <c r="F6" s="709"/>
      <c r="G6" s="709"/>
      <c r="H6" s="709"/>
      <c r="I6" s="709"/>
      <c r="J6" s="709"/>
      <c r="K6" s="709"/>
      <c r="L6" s="709"/>
      <c r="M6" s="709"/>
    </row>
    <row r="7" spans="1:13" ht="10.5" customHeight="1"/>
    <row r="8" spans="1:13" ht="16.5">
      <c r="A8" s="652" t="s">
        <v>1</v>
      </c>
      <c r="B8" s="652"/>
      <c r="C8" s="652"/>
      <c r="D8" s="652"/>
      <c r="E8" s="652"/>
      <c r="F8" s="652"/>
      <c r="G8" s="652"/>
      <c r="H8" s="652"/>
      <c r="I8" s="652"/>
      <c r="J8" s="652"/>
      <c r="K8" s="652"/>
      <c r="L8" s="652"/>
      <c r="M8" s="652"/>
    </row>
    <row r="9" spans="1:13" ht="1.5" customHeight="1"/>
    <row r="10" spans="1:13" s="5" customFormat="1" ht="32.25" customHeight="1">
      <c r="A10" s="16"/>
      <c r="B10" s="699" t="s">
        <v>28</v>
      </c>
      <c r="C10" s="700"/>
      <c r="D10" s="701" t="s">
        <v>29</v>
      </c>
      <c r="E10" s="704" t="s">
        <v>30</v>
      </c>
      <c r="F10" s="699"/>
      <c r="G10" s="699"/>
      <c r="H10" s="710" t="s">
        <v>205</v>
      </c>
      <c r="I10" s="711"/>
      <c r="J10" s="711"/>
      <c r="K10" s="711"/>
      <c r="L10" s="711"/>
      <c r="M10" s="222"/>
    </row>
    <row r="11" spans="1:13" s="5" customFormat="1" ht="16.5" hidden="1" customHeight="1">
      <c r="B11" s="712" t="s">
        <v>31</v>
      </c>
      <c r="C11" s="701" t="s">
        <v>32</v>
      </c>
      <c r="D11" s="702"/>
      <c r="E11" s="701" t="s">
        <v>33</v>
      </c>
      <c r="F11" s="701" t="s">
        <v>34</v>
      </c>
      <c r="G11" s="701" t="s">
        <v>35</v>
      </c>
      <c r="H11" s="701" t="s">
        <v>33</v>
      </c>
      <c r="I11" s="701" t="s">
        <v>34</v>
      </c>
      <c r="J11" s="716" t="s">
        <v>197</v>
      </c>
      <c r="K11" s="717"/>
      <c r="L11" s="718"/>
      <c r="M11" s="142"/>
    </row>
    <row r="12" spans="1:13" s="5" customFormat="1" ht="16.5">
      <c r="A12" s="16"/>
      <c r="B12" s="713"/>
      <c r="C12" s="714"/>
      <c r="D12" s="703"/>
      <c r="E12" s="714"/>
      <c r="F12" s="714"/>
      <c r="G12" s="714"/>
      <c r="H12" s="715"/>
      <c r="I12" s="715"/>
      <c r="J12" s="222" t="s">
        <v>198</v>
      </c>
      <c r="K12" s="224"/>
      <c r="L12" s="222" t="s">
        <v>199</v>
      </c>
      <c r="M12" s="222"/>
    </row>
    <row r="13" spans="1:13" ht="39.75" hidden="1" customHeight="1">
      <c r="C13" s="332"/>
      <c r="D13" s="332"/>
      <c r="E13" s="332"/>
      <c r="H13" s="14"/>
      <c r="I13" s="14"/>
      <c r="J13" s="14"/>
      <c r="K13" s="14"/>
      <c r="L13" s="14"/>
      <c r="M13" s="14"/>
    </row>
    <row r="14" spans="1:13" hidden="1">
      <c r="C14" s="332"/>
      <c r="D14" s="332"/>
      <c r="E14" s="332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2"/>
      <c r="D15" s="383" t="s">
        <v>36</v>
      </c>
      <c r="E15" s="384"/>
      <c r="F15" s="270"/>
      <c r="G15" s="271"/>
      <c r="H15" s="272">
        <v>2610515</v>
      </c>
      <c r="I15" s="272">
        <v>2352000</v>
      </c>
      <c r="J15" s="272">
        <v>258515</v>
      </c>
      <c r="K15" s="272"/>
      <c r="L15" s="273">
        <v>10.991284013605444</v>
      </c>
      <c r="M15" s="140"/>
    </row>
    <row r="16" spans="1:13" ht="12.75" hidden="1" customHeight="1">
      <c r="A16" s="6"/>
      <c r="B16" s="148"/>
      <c r="C16" s="367"/>
      <c r="D16" s="368"/>
      <c r="E16" s="369"/>
      <c r="F16" s="274"/>
      <c r="G16" s="274"/>
      <c r="H16" s="270"/>
      <c r="I16" s="270"/>
      <c r="J16" s="270"/>
      <c r="K16" s="270"/>
      <c r="L16" s="270"/>
      <c r="M16" s="141"/>
    </row>
    <row r="17" spans="1:13" ht="21" customHeight="1">
      <c r="A17" s="8"/>
      <c r="B17" s="150"/>
      <c r="C17" s="385"/>
      <c r="D17" s="386" t="s">
        <v>37</v>
      </c>
      <c r="E17" s="384"/>
      <c r="F17" s="270"/>
      <c r="G17" s="271"/>
      <c r="H17" s="272">
        <v>21620543</v>
      </c>
      <c r="I17" s="272">
        <v>23041000</v>
      </c>
      <c r="J17" s="272">
        <v>-1420457</v>
      </c>
      <c r="K17" s="272"/>
      <c r="L17" s="273">
        <v>-6.1649103771537694</v>
      </c>
      <c r="M17" s="140"/>
    </row>
    <row r="18" spans="1:13" ht="12.75" hidden="1" customHeight="1">
      <c r="B18" s="149"/>
      <c r="C18" s="368"/>
      <c r="D18" s="387"/>
      <c r="E18" s="369"/>
      <c r="F18" s="274"/>
      <c r="G18" s="274"/>
      <c r="H18" s="270"/>
      <c r="I18" s="270"/>
      <c r="J18" s="270"/>
      <c r="K18" s="270"/>
      <c r="L18" s="270"/>
      <c r="M18" s="141"/>
    </row>
    <row r="19" spans="1:13" ht="12.75" hidden="1" customHeight="1">
      <c r="B19" s="149"/>
      <c r="C19" s="368"/>
      <c r="D19" s="368"/>
      <c r="E19" s="369"/>
      <c r="F19" s="274"/>
      <c r="G19" s="274"/>
      <c r="H19" s="270"/>
      <c r="I19" s="270"/>
      <c r="J19" s="270"/>
      <c r="K19" s="270"/>
      <c r="L19" s="270"/>
      <c r="M19" s="141"/>
    </row>
    <row r="20" spans="1:13" ht="21" hidden="1" customHeight="1">
      <c r="A20" s="12"/>
      <c r="B20" s="17" t="s">
        <v>23</v>
      </c>
      <c r="C20" s="382"/>
      <c r="D20" s="383" t="s">
        <v>36</v>
      </c>
      <c r="E20" s="384"/>
      <c r="F20" s="270"/>
      <c r="G20" s="275"/>
      <c r="H20" s="272"/>
      <c r="I20" s="272"/>
      <c r="J20" s="272"/>
      <c r="K20" s="272"/>
      <c r="L20" s="273"/>
      <c r="M20" s="140"/>
    </row>
    <row r="21" spans="1:13" ht="12.75" hidden="1" customHeight="1">
      <c r="A21" s="6"/>
      <c r="B21" s="148"/>
      <c r="C21" s="367"/>
      <c r="D21" s="368"/>
      <c r="E21" s="369"/>
      <c r="F21" s="274"/>
      <c r="G21" s="274"/>
      <c r="H21" s="270"/>
      <c r="I21" s="270"/>
      <c r="J21" s="270"/>
      <c r="K21" s="270"/>
      <c r="L21" s="270"/>
      <c r="M21" s="141"/>
    </row>
    <row r="22" spans="1:13" ht="21" hidden="1" customHeight="1">
      <c r="A22" s="8"/>
      <c r="B22" s="150"/>
      <c r="C22" s="385"/>
      <c r="D22" s="386" t="s">
        <v>37</v>
      </c>
      <c r="E22" s="384"/>
      <c r="F22" s="270"/>
      <c r="G22" s="275"/>
      <c r="H22" s="272"/>
      <c r="I22" s="272"/>
      <c r="J22" s="272"/>
      <c r="K22" s="272"/>
      <c r="L22" s="273"/>
      <c r="M22" s="140"/>
    </row>
    <row r="23" spans="1:13" ht="12.75" hidden="1" customHeight="1">
      <c r="B23" s="149"/>
      <c r="C23" s="149"/>
      <c r="D23" s="151"/>
      <c r="E23" s="274"/>
      <c r="F23" s="274"/>
      <c r="G23" s="274"/>
      <c r="H23" s="270"/>
      <c r="I23" s="270"/>
      <c r="J23" s="270"/>
      <c r="K23" s="270"/>
      <c r="L23" s="270"/>
      <c r="M23" s="141"/>
    </row>
    <row r="24" spans="1:13" ht="12.75" hidden="1" customHeight="1">
      <c r="B24" s="149"/>
      <c r="C24" s="149"/>
      <c r="D24" s="149"/>
      <c r="E24" s="274"/>
      <c r="F24" s="274"/>
      <c r="G24" s="274"/>
      <c r="H24" s="270"/>
      <c r="I24" s="270"/>
      <c r="J24" s="270"/>
      <c r="K24" s="270"/>
      <c r="L24" s="270"/>
      <c r="M24" s="141"/>
    </row>
    <row r="25" spans="1:13" ht="12.75" hidden="1" customHeight="1">
      <c r="B25" s="153"/>
      <c r="C25" s="154"/>
      <c r="D25" s="155"/>
      <c r="E25" s="152"/>
      <c r="F25" s="152"/>
      <c r="G25" s="152"/>
      <c r="H25" s="116"/>
      <c r="I25" s="116"/>
      <c r="J25" s="225"/>
      <c r="K25" s="225"/>
      <c r="L25" s="117"/>
      <c r="M25" s="118"/>
    </row>
    <row r="26" spans="1:13" ht="17.25" hidden="1" customHeight="1">
      <c r="B26" s="154"/>
      <c r="C26" s="154"/>
      <c r="D26" s="151"/>
      <c r="E26" s="156"/>
      <c r="F26" s="156"/>
      <c r="G26" s="156"/>
      <c r="H26" s="156"/>
      <c r="I26" s="156"/>
      <c r="J26" s="156"/>
      <c r="K26" s="156"/>
      <c r="L26" s="156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Q17" sqref="Q17"/>
    </sheetView>
  </sheetViews>
  <sheetFormatPr defaultColWidth="9.140625" defaultRowHeight="15.75"/>
  <cols>
    <col min="1" max="1" width="25.42578125" style="239" customWidth="1"/>
    <col min="2" max="7" width="17" style="59" customWidth="1"/>
    <col min="8" max="16384" width="9.140625" style="59"/>
  </cols>
  <sheetData>
    <row r="1" spans="1:11" s="82" customFormat="1" ht="19.5">
      <c r="A1" s="720" t="str">
        <f>封面!$A$4</f>
        <v>彰化縣地方教育發展基金－彰化縣秀水鄉馬興國民小學</v>
      </c>
      <c r="B1" s="720"/>
      <c r="C1" s="720"/>
      <c r="D1" s="720"/>
      <c r="E1" s="720"/>
      <c r="F1" s="720"/>
      <c r="G1" s="721"/>
      <c r="J1" s="234"/>
      <c r="K1" s="208"/>
    </row>
    <row r="2" spans="1:11" s="82" customFormat="1" ht="19.5" hidden="1">
      <c r="A2" s="237"/>
      <c r="B2" s="230"/>
      <c r="C2" s="230"/>
      <c r="D2" s="233"/>
      <c r="E2" s="233"/>
      <c r="F2" s="233"/>
      <c r="J2" s="234"/>
      <c r="K2" s="208"/>
    </row>
    <row r="3" spans="1:11" s="82" customFormat="1" ht="14.25" hidden="1" customHeight="1">
      <c r="A3" s="238"/>
      <c r="J3" s="234"/>
      <c r="K3" s="208"/>
    </row>
    <row r="4" spans="1:11" s="82" customFormat="1" ht="21">
      <c r="A4" s="724" t="s">
        <v>270</v>
      </c>
      <c r="B4" s="724"/>
      <c r="C4" s="724"/>
      <c r="D4" s="724"/>
      <c r="E4" s="724"/>
      <c r="F4" s="724"/>
      <c r="G4" s="721"/>
      <c r="J4" s="234"/>
      <c r="K4" s="208"/>
    </row>
    <row r="5" spans="1:11" s="82" customFormat="1" ht="6.75" customHeight="1">
      <c r="A5" s="238"/>
      <c r="J5" s="234"/>
      <c r="K5" s="208"/>
    </row>
    <row r="6" spans="1:11" s="82" customFormat="1" ht="16.5">
      <c r="A6" s="723" t="str">
        <f>封面!$E$10&amp;封面!$H$10&amp;封面!$I$10&amp;封面!$J$10&amp;封面!$K$10&amp;封面!L10</f>
        <v>中華民國112年7月份</v>
      </c>
      <c r="B6" s="723"/>
      <c r="C6" s="723"/>
      <c r="D6" s="723"/>
      <c r="E6" s="723"/>
      <c r="F6" s="723"/>
      <c r="G6" s="721"/>
      <c r="J6" s="234"/>
      <c r="K6" s="208"/>
    </row>
    <row r="7" spans="1:11" s="82" customFormat="1" ht="14.25" customHeight="1">
      <c r="A7" s="652" t="s">
        <v>39</v>
      </c>
      <c r="B7" s="652"/>
      <c r="C7" s="652"/>
      <c r="D7" s="652"/>
      <c r="E7" s="652"/>
      <c r="F7" s="652"/>
      <c r="G7" s="721"/>
      <c r="J7" s="234"/>
      <c r="K7" s="208"/>
    </row>
    <row r="8" spans="1:11" s="235" customFormat="1" ht="28.5" customHeight="1">
      <c r="A8" s="646" t="s">
        <v>215</v>
      </c>
      <c r="B8" s="646" t="s">
        <v>271</v>
      </c>
      <c r="C8" s="646" t="s">
        <v>272</v>
      </c>
      <c r="D8" s="725" t="s">
        <v>275</v>
      </c>
      <c r="E8" s="726"/>
      <c r="F8" s="654" t="s">
        <v>276</v>
      </c>
      <c r="G8" s="665" t="s">
        <v>277</v>
      </c>
    </row>
    <row r="9" spans="1:11" s="236" customFormat="1" ht="28.5" customHeight="1">
      <c r="A9" s="722"/>
      <c r="B9" s="722"/>
      <c r="C9" s="722"/>
      <c r="D9" s="315" t="s">
        <v>273</v>
      </c>
      <c r="E9" s="315" t="s">
        <v>274</v>
      </c>
      <c r="F9" s="719"/>
      <c r="G9" s="679"/>
    </row>
    <row r="10" spans="1:11">
      <c r="A10" s="240" t="s">
        <v>207</v>
      </c>
      <c r="B10" s="276">
        <f t="shared" ref="B10:G10" si="0">SUM(B12:B40)</f>
        <v>78246642</v>
      </c>
      <c r="C10" s="276">
        <f t="shared" si="0"/>
        <v>37208373</v>
      </c>
      <c r="D10" s="316">
        <f t="shared" si="0"/>
        <v>3443642</v>
      </c>
      <c r="E10" s="316">
        <f t="shared" si="0"/>
        <v>64923</v>
      </c>
      <c r="F10" s="316">
        <f t="shared" si="0"/>
        <v>1872597</v>
      </c>
      <c r="G10" s="316">
        <f t="shared" si="0"/>
        <v>42544391</v>
      </c>
    </row>
    <row r="11" spans="1:11" ht="15.75" hidden="1" customHeight="1">
      <c r="A11" s="241"/>
      <c r="B11" s="277"/>
      <c r="C11" s="277"/>
      <c r="D11" s="317"/>
      <c r="E11" s="317"/>
      <c r="F11" s="317"/>
      <c r="G11" s="317"/>
    </row>
    <row r="12" spans="1:11">
      <c r="A12" s="242" t="s">
        <v>208</v>
      </c>
      <c r="B12" s="277"/>
      <c r="C12" s="277"/>
      <c r="D12" s="317"/>
      <c r="E12" s="317"/>
      <c r="F12" s="317"/>
      <c r="G12" s="317">
        <f>B12-C12+D12-E12-F12</f>
        <v>0</v>
      </c>
    </row>
    <row r="13" spans="1:11" ht="15.75" hidden="1" customHeight="1">
      <c r="A13" s="242"/>
      <c r="B13" s="277"/>
      <c r="C13" s="366"/>
      <c r="D13" s="425"/>
      <c r="E13" s="425"/>
      <c r="F13" s="317"/>
      <c r="G13" s="317">
        <f t="shared" ref="G13:G41" si="1">B13-C13+D13-E13-F13</f>
        <v>0</v>
      </c>
    </row>
    <row r="14" spans="1:11">
      <c r="A14" s="242" t="s">
        <v>209</v>
      </c>
      <c r="B14" s="277">
        <v>11027358</v>
      </c>
      <c r="C14" s="426"/>
      <c r="D14" s="425"/>
      <c r="E14" s="425"/>
      <c r="F14" s="317"/>
      <c r="G14" s="317">
        <f t="shared" si="1"/>
        <v>11027358</v>
      </c>
    </row>
    <row r="15" spans="1:11" ht="15.75" hidden="1" customHeight="1">
      <c r="A15" s="242"/>
      <c r="B15" s="277"/>
      <c r="C15" s="426"/>
      <c r="D15" s="425"/>
      <c r="E15" s="425"/>
      <c r="F15" s="317"/>
      <c r="G15" s="317">
        <f t="shared" si="1"/>
        <v>0</v>
      </c>
    </row>
    <row r="16" spans="1:11">
      <c r="A16" s="242" t="s">
        <v>210</v>
      </c>
      <c r="B16" s="428">
        <v>5137300</v>
      </c>
      <c r="C16" s="429">
        <v>2395983</v>
      </c>
      <c r="D16" s="427"/>
      <c r="E16" s="425"/>
      <c r="F16" s="429">
        <v>229621</v>
      </c>
      <c r="G16" s="317">
        <f t="shared" si="1"/>
        <v>2511696</v>
      </c>
    </row>
    <row r="17" spans="1:7" ht="15.75" hidden="1" customHeight="1">
      <c r="A17" s="242"/>
      <c r="B17" s="426"/>
      <c r="C17" s="426"/>
      <c r="D17" s="427"/>
      <c r="E17" s="425"/>
      <c r="F17" s="429"/>
      <c r="G17" s="317">
        <f t="shared" si="1"/>
        <v>0</v>
      </c>
    </row>
    <row r="18" spans="1:7">
      <c r="A18" s="242" t="s">
        <v>211</v>
      </c>
      <c r="B18" s="428">
        <v>48434327</v>
      </c>
      <c r="C18" s="429">
        <v>26141584</v>
      </c>
      <c r="D18" s="425"/>
      <c r="E18" s="425">
        <v>64923</v>
      </c>
      <c r="F18" s="429">
        <v>606970</v>
      </c>
      <c r="G18" s="317">
        <f t="shared" si="1"/>
        <v>21620850</v>
      </c>
    </row>
    <row r="19" spans="1:7" ht="15.75" hidden="1" customHeight="1">
      <c r="A19" s="242"/>
      <c r="B19" s="426"/>
      <c r="C19" s="426"/>
      <c r="D19" s="427"/>
      <c r="E19" s="425"/>
      <c r="F19" s="429"/>
      <c r="G19" s="317">
        <f t="shared" si="1"/>
        <v>0</v>
      </c>
    </row>
    <row r="20" spans="1:7">
      <c r="A20" s="242" t="s">
        <v>212</v>
      </c>
      <c r="B20" s="428">
        <v>5817566</v>
      </c>
      <c r="C20" s="429">
        <v>4243965</v>
      </c>
      <c r="D20" s="429">
        <v>585000</v>
      </c>
      <c r="E20" s="425"/>
      <c r="F20" s="429">
        <v>368833</v>
      </c>
      <c r="G20" s="317">
        <f t="shared" si="1"/>
        <v>1789768</v>
      </c>
    </row>
    <row r="21" spans="1:7" ht="15.75" hidden="1" customHeight="1">
      <c r="A21" s="242"/>
      <c r="B21" s="426"/>
      <c r="C21" s="426"/>
      <c r="D21" s="427"/>
      <c r="E21" s="425"/>
      <c r="F21" s="429"/>
      <c r="G21" s="317">
        <f t="shared" si="1"/>
        <v>0</v>
      </c>
    </row>
    <row r="22" spans="1:7">
      <c r="A22" s="242" t="s">
        <v>213</v>
      </c>
      <c r="B22" s="428">
        <v>634500</v>
      </c>
      <c r="C22" s="429">
        <v>497503</v>
      </c>
      <c r="D22" s="429"/>
      <c r="E22" s="425"/>
      <c r="F22" s="429">
        <v>25151</v>
      </c>
      <c r="G22" s="317">
        <f t="shared" si="1"/>
        <v>111846</v>
      </c>
    </row>
    <row r="23" spans="1:7" ht="15.75" hidden="1" customHeight="1">
      <c r="A23" s="242"/>
      <c r="B23" s="426"/>
      <c r="C23" s="426"/>
      <c r="D23" s="427"/>
      <c r="E23" s="317"/>
      <c r="F23" s="429"/>
      <c r="G23" s="317">
        <f t="shared" si="1"/>
        <v>0</v>
      </c>
    </row>
    <row r="24" spans="1:7">
      <c r="A24" s="242" t="s">
        <v>214</v>
      </c>
      <c r="B24" s="428">
        <v>7195591</v>
      </c>
      <c r="C24" s="429">
        <v>3929338</v>
      </c>
      <c r="D24" s="429">
        <v>2858642</v>
      </c>
      <c r="E24" s="317"/>
      <c r="F24" s="429">
        <v>642022</v>
      </c>
      <c r="G24" s="317">
        <f t="shared" si="1"/>
        <v>5482873</v>
      </c>
    </row>
    <row r="25" spans="1:7" ht="15.75" hidden="1" customHeight="1">
      <c r="A25" s="242"/>
      <c r="B25" s="277"/>
      <c r="C25" s="277"/>
      <c r="D25" s="317"/>
      <c r="E25" s="317"/>
      <c r="F25" s="317"/>
      <c r="G25" s="317">
        <f t="shared" si="1"/>
        <v>0</v>
      </c>
    </row>
    <row r="26" spans="1:7">
      <c r="A26" s="242" t="s">
        <v>457</v>
      </c>
      <c r="B26" s="277"/>
      <c r="C26" s="277"/>
      <c r="D26" s="317"/>
      <c r="E26" s="317"/>
      <c r="F26" s="317"/>
      <c r="G26" s="317">
        <f t="shared" si="1"/>
        <v>0</v>
      </c>
    </row>
    <row r="27" spans="1:7" ht="15.75" hidden="1" customHeight="1">
      <c r="A27" s="242"/>
      <c r="B27" s="277"/>
      <c r="C27" s="277"/>
      <c r="D27" s="317"/>
      <c r="E27" s="317"/>
      <c r="F27" s="317"/>
      <c r="G27" s="317">
        <f t="shared" si="1"/>
        <v>0</v>
      </c>
    </row>
    <row r="28" spans="1:7">
      <c r="A28" s="242" t="s">
        <v>458</v>
      </c>
      <c r="B28" s="277"/>
      <c r="C28" s="277"/>
      <c r="D28" s="317"/>
      <c r="E28" s="317"/>
      <c r="F28" s="317"/>
      <c r="G28" s="317">
        <f t="shared" si="1"/>
        <v>0</v>
      </c>
    </row>
    <row r="29" spans="1:7" ht="15.75" hidden="1" customHeight="1">
      <c r="A29" s="242"/>
      <c r="B29" s="277"/>
      <c r="C29" s="277"/>
      <c r="D29" s="317"/>
      <c r="E29" s="317"/>
      <c r="F29" s="317"/>
      <c r="G29" s="317">
        <f t="shared" si="1"/>
        <v>0</v>
      </c>
    </row>
    <row r="30" spans="1:7">
      <c r="A30" s="242" t="s">
        <v>459</v>
      </c>
      <c r="B30" s="277"/>
      <c r="C30" s="277"/>
      <c r="D30" s="317"/>
      <c r="E30" s="317"/>
      <c r="F30" s="317"/>
      <c r="G30" s="317">
        <f t="shared" si="1"/>
        <v>0</v>
      </c>
    </row>
    <row r="31" spans="1:7" hidden="1">
      <c r="A31" s="242"/>
      <c r="B31" s="277"/>
      <c r="C31" s="277"/>
      <c r="D31" s="317"/>
      <c r="E31" s="317"/>
      <c r="F31" s="317"/>
      <c r="G31" s="317"/>
    </row>
    <row r="32" spans="1:7">
      <c r="A32" s="242" t="s">
        <v>49</v>
      </c>
      <c r="B32" s="277"/>
      <c r="C32" s="277"/>
      <c r="D32" s="317"/>
      <c r="E32" s="317"/>
      <c r="F32" s="317"/>
      <c r="G32" s="317"/>
    </row>
    <row r="33" spans="1:7" hidden="1">
      <c r="A33" s="242"/>
      <c r="B33" s="277"/>
      <c r="C33" s="277"/>
      <c r="D33" s="317"/>
      <c r="E33" s="317"/>
      <c r="F33" s="317"/>
      <c r="G33" s="317"/>
    </row>
    <row r="34" spans="1:7">
      <c r="A34" s="242" t="s">
        <v>202</v>
      </c>
      <c r="B34" s="277"/>
      <c r="C34" s="277"/>
      <c r="D34" s="317"/>
      <c r="E34" s="317"/>
      <c r="F34" s="317"/>
      <c r="G34" s="317"/>
    </row>
    <row r="35" spans="1:7">
      <c r="A35" s="242" t="s">
        <v>50</v>
      </c>
      <c r="B35" s="277"/>
      <c r="C35" s="277"/>
      <c r="D35" s="317"/>
      <c r="E35" s="317"/>
      <c r="F35" s="317"/>
      <c r="G35" s="317"/>
    </row>
    <row r="36" spans="1:7" hidden="1">
      <c r="A36" s="242"/>
      <c r="B36" s="277"/>
      <c r="C36" s="277"/>
      <c r="D36" s="317"/>
      <c r="E36" s="317"/>
      <c r="F36" s="317"/>
      <c r="G36" s="317"/>
    </row>
    <row r="37" spans="1:7">
      <c r="A37" s="242" t="s">
        <v>460</v>
      </c>
      <c r="B37" s="277"/>
      <c r="C37" s="277"/>
      <c r="D37" s="317"/>
      <c r="E37" s="317"/>
      <c r="F37" s="317"/>
      <c r="G37" s="317"/>
    </row>
    <row r="38" spans="1:7" hidden="1">
      <c r="A38" s="242"/>
      <c r="B38" s="277"/>
      <c r="C38" s="277"/>
      <c r="D38" s="317"/>
      <c r="E38" s="317"/>
      <c r="F38" s="317"/>
      <c r="G38" s="317"/>
    </row>
    <row r="39" spans="1:7">
      <c r="A39" s="242" t="s">
        <v>461</v>
      </c>
      <c r="B39" s="277"/>
      <c r="C39" s="277"/>
      <c r="D39" s="317"/>
      <c r="E39" s="317"/>
      <c r="F39" s="317"/>
      <c r="G39" s="317"/>
    </row>
    <row r="40" spans="1:7" hidden="1">
      <c r="A40" s="242"/>
      <c r="B40" s="277"/>
      <c r="C40" s="277"/>
      <c r="D40" s="317"/>
      <c r="E40" s="317"/>
      <c r="F40" s="317"/>
      <c r="G40" s="317">
        <f t="shared" si="1"/>
        <v>0</v>
      </c>
    </row>
    <row r="41" spans="1:7">
      <c r="A41" s="243" t="s">
        <v>203</v>
      </c>
      <c r="B41" s="278"/>
      <c r="C41" s="278"/>
      <c r="D41" s="318"/>
      <c r="E41" s="318"/>
      <c r="F41" s="318"/>
      <c r="G41" s="318">
        <f t="shared" si="1"/>
        <v>0</v>
      </c>
    </row>
    <row r="42" spans="1:7">
      <c r="G42" s="269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2023-07-31T06:00:02Z</cp:lastPrinted>
  <dcterms:created xsi:type="dcterms:W3CDTF">2016-11-01T23:05:09Z</dcterms:created>
  <dcterms:modified xsi:type="dcterms:W3CDTF">2023-11-30T03:42:54Z</dcterms:modified>
</cp:coreProperties>
</file>