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1\"/>
    </mc:Choice>
  </mc:AlternateContent>
  <xr:revisionPtr revIDLastSave="0" documentId="13_ncr:1_{10490583-ACBC-4447-89B8-38594930B324}" xr6:coauthVersionLast="36" xr6:coauthVersionMax="36" xr10:uidLastSave="{00000000-0000-0000-0000-000000000000}"/>
  <bookViews>
    <workbookView xWindow="-15" yWindow="75" windowWidth="15480" windowHeight="3780" tabRatio="800" activeTab="3" xr2:uid="{00000000-000D-0000-FFFF-FFFF00000000}"/>
  </bookViews>
  <sheets>
    <sheet name="封面-移交" sheetId="22" r:id="rId1"/>
    <sheet name="勾稽" sheetId="15" r:id="rId2"/>
    <sheet name="代收款" sheetId="26" r:id="rId3"/>
    <sheet name="勾稽 (2)" sheetId="25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各項費用" sheetId="9" r:id="rId10"/>
    <sheet name="落後原因" sheetId="10" r:id="rId11"/>
    <sheet name="收支" sheetId="23" r:id="rId12"/>
    <sheet name="對照表" sheetId="24" r:id="rId13"/>
    <sheet name="庫款差額" sheetId="11" r:id="rId14"/>
    <sheet name="縣庫對帳" sheetId="12" r:id="rId15"/>
    <sheet name="專戶差額" sheetId="16" r:id="rId16"/>
    <sheet name="專戶對帳" sheetId="18" r:id="rId17"/>
    <sheet name="購健固定" sheetId="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xlnm.Print_Area" localSheetId="6">平衡!$A$1:$V$43</definedName>
    <definedName name="_xlnm.Print_Area" localSheetId="9">各項費用!$A$1:$W$86</definedName>
    <definedName name="_xlnm.Print_Area" localSheetId="11">收支!$A$1:$N$42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3">庫款差額!$A$1:$C$24</definedName>
    <definedName name="_xlnm.Print_Area" localSheetId="15">專戶差額!$A$1:$L$47</definedName>
    <definedName name="_xlnm.Print_Area" localSheetId="10">落後原因!$A$1:$P$20</definedName>
    <definedName name="_xlnm.Print_Area" localSheetId="8">資產!$A$1:$G$33</definedName>
    <definedName name="_xlnm.Print_Area" localSheetId="20">對帳通知單!$A$1:$R$20</definedName>
    <definedName name="_xlnm.Print_Area" localSheetId="12">對照表!$A$1:$I$33</definedName>
    <definedName name="_xlnm.Print_Area" localSheetId="5">餘絀表!$A$1:$AD$47</definedName>
    <definedName name="_xlnm.Print_Area" localSheetId="14">縣庫對帳!$B$1:$L$25</definedName>
    <definedName name="_xlnm.Print_Titles" localSheetId="9">各項費用!$2:$10</definedName>
    <definedName name="_xlnm.Print_Titles" localSheetId="13">庫款差額!$1:$5</definedName>
    <definedName name="_xlnm.Print_Titles" localSheetId="14">縣庫對帳!$1:$3</definedName>
  </definedNames>
  <calcPr calcId="179021"/>
</workbook>
</file>

<file path=xl/calcChain.xml><?xml version="1.0" encoding="utf-8"?>
<calcChain xmlns="http://schemas.openxmlformats.org/spreadsheetml/2006/main">
  <c r="G26" i="25" l="1"/>
  <c r="G27" i="25"/>
  <c r="G28" i="25"/>
  <c r="G29" i="25"/>
  <c r="G30" i="25"/>
  <c r="G25" i="25"/>
  <c r="G49" i="16" l="1"/>
  <c r="K44" i="16"/>
  <c r="K39" i="16"/>
  <c r="K35" i="16"/>
  <c r="K14" i="16"/>
  <c r="K10" i="16"/>
  <c r="K8" i="16"/>
  <c r="K43" i="16" s="1"/>
  <c r="K49" i="16" l="1"/>
  <c r="Y115" i="26"/>
  <c r="Y104" i="26" l="1"/>
  <c r="D29" i="25" s="1"/>
  <c r="Y89" i="26"/>
  <c r="D27" i="25" s="1"/>
  <c r="X200" i="26"/>
  <c r="Y117" i="26"/>
  <c r="D25" i="25"/>
  <c r="E29" i="25" l="1"/>
  <c r="P7" i="12"/>
  <c r="N16" i="23" l="1"/>
  <c r="N18" i="23"/>
  <c r="N19" i="23"/>
  <c r="N20" i="23"/>
  <c r="N21" i="23"/>
  <c r="N23" i="23"/>
  <c r="N25" i="23"/>
  <c r="N28" i="23"/>
  <c r="N30" i="23"/>
  <c r="N32" i="23"/>
  <c r="N34" i="23"/>
  <c r="N36" i="23"/>
  <c r="N38" i="23"/>
  <c r="N39" i="23"/>
  <c r="T26" i="1" l="1"/>
  <c r="G16" i="21" l="1"/>
  <c r="G17" i="21"/>
  <c r="G18" i="21"/>
  <c r="G19" i="21"/>
  <c r="G20" i="21"/>
  <c r="G21" i="21"/>
  <c r="G22" i="21"/>
  <c r="G23" i="21"/>
  <c r="G24" i="21"/>
  <c r="H21" i="25" l="1"/>
  <c r="H22" i="25" l="1"/>
  <c r="J9" i="16" l="1"/>
  <c r="M9" i="16" s="1"/>
  <c r="B3" i="16" l="1"/>
  <c r="H44" i="16"/>
  <c r="I44" i="16"/>
  <c r="J44" i="16"/>
  <c r="L44" i="16"/>
  <c r="G44" i="16"/>
  <c r="J39" i="16"/>
  <c r="J35" i="16"/>
  <c r="J14" i="16"/>
  <c r="J10" i="16"/>
  <c r="M44" i="16" l="1"/>
  <c r="L8" i="16"/>
  <c r="J8" i="16"/>
  <c r="J43" i="16" s="1"/>
  <c r="I8" i="16"/>
  <c r="G8" i="16"/>
  <c r="D23" i="25" l="1"/>
  <c r="N4" i="12" l="1"/>
  <c r="D29" i="24" l="1"/>
  <c r="C29" i="24"/>
  <c r="E6" i="25" l="1"/>
  <c r="D6" i="25"/>
  <c r="I17" i="23" l="1"/>
  <c r="N17" i="23" s="1"/>
  <c r="G31" i="25" l="1"/>
  <c r="I35" i="23" l="1"/>
  <c r="N35" i="23" s="1"/>
  <c r="I33" i="23"/>
  <c r="N33" i="23" s="1"/>
  <c r="I31" i="23"/>
  <c r="N31" i="23" s="1"/>
  <c r="I29" i="23"/>
  <c r="N29" i="23" s="1"/>
  <c r="I27" i="23"/>
  <c r="N27" i="23" s="1"/>
  <c r="I24" i="23"/>
  <c r="N24" i="23" s="1"/>
  <c r="I22" i="23"/>
  <c r="N22" i="23" s="1"/>
  <c r="I15" i="23"/>
  <c r="N15" i="23" s="1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1" i="24" s="1"/>
  <c r="E13" i="24"/>
  <c r="I14" i="23"/>
  <c r="N14" i="23" s="1"/>
  <c r="I26" i="23"/>
  <c r="N26" i="23" s="1"/>
  <c r="D28" i="24"/>
  <c r="C5" i="3"/>
  <c r="A6" i="5"/>
  <c r="A4" i="1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C2" i="3"/>
  <c r="F31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F30" i="25"/>
  <c r="F29" i="25"/>
  <c r="F27" i="25"/>
  <c r="F26" i="25"/>
  <c r="F25" i="25"/>
  <c r="H21" i="15"/>
  <c r="G13" i="21"/>
  <c r="G14" i="21"/>
  <c r="G15" i="21"/>
  <c r="G25" i="21"/>
  <c r="G26" i="21"/>
  <c r="G27" i="21"/>
  <c r="G28" i="21"/>
  <c r="G29" i="21"/>
  <c r="G30" i="21"/>
  <c r="G31" i="21"/>
  <c r="G32" i="21"/>
  <c r="G33" i="21"/>
  <c r="G12" i="21"/>
  <c r="F11" i="15"/>
  <c r="D11" i="15"/>
  <c r="E13" i="15"/>
  <c r="E28" i="24" l="1"/>
  <c r="I37" i="23"/>
  <c r="J28" i="24"/>
  <c r="D31" i="24"/>
  <c r="F28" i="25"/>
  <c r="E15" i="15"/>
  <c r="E20" i="15"/>
  <c r="E21" i="15"/>
  <c r="G11" i="15"/>
  <c r="N37" i="23" l="1"/>
  <c r="E13" i="25" s="1"/>
  <c r="G13" i="25" s="1"/>
  <c r="D13" i="25" s="1"/>
  <c r="H10" i="25" s="1"/>
  <c r="I40" i="23"/>
  <c r="N40" i="23" s="1"/>
  <c r="F12" i="15"/>
  <c r="F12" i="25"/>
  <c r="D28" i="25"/>
  <c r="J31" i="24"/>
  <c r="E31" i="24"/>
  <c r="E9" i="15"/>
  <c r="D9" i="15"/>
  <c r="F21" i="15"/>
  <c r="F20" i="15"/>
  <c r="D20" i="15"/>
  <c r="D10" i="15"/>
  <c r="D31" i="25" l="1"/>
  <c r="D32" i="25" s="1"/>
  <c r="H8" i="16"/>
  <c r="E17" i="15"/>
  <c r="E8" i="15"/>
  <c r="D8" i="15"/>
  <c r="E7" i="15"/>
  <c r="D7" i="15"/>
  <c r="D6" i="15"/>
  <c r="D15" i="15"/>
  <c r="D14" i="15"/>
  <c r="M8" i="16" l="1"/>
  <c r="G7" i="16"/>
  <c r="M7" i="16" s="1"/>
  <c r="G13" i="15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2" i="8"/>
  <c r="L22" i="8" s="1"/>
  <c r="K23" i="8"/>
  <c r="M23" i="8" s="1"/>
  <c r="N23" i="8" s="1"/>
  <c r="K25" i="8"/>
  <c r="M25" i="8" s="1"/>
  <c r="N25" i="8" s="1"/>
  <c r="K26" i="8"/>
  <c r="L26" i="8" s="1"/>
  <c r="K28" i="8"/>
  <c r="M28" i="8" s="1"/>
  <c r="N28" i="8" s="1"/>
  <c r="K29" i="8"/>
  <c r="M29" i="8" s="1"/>
  <c r="N29" i="8" s="1"/>
  <c r="K31" i="8"/>
  <c r="M31" i="8" s="1"/>
  <c r="N31" i="8" s="1"/>
  <c r="K32" i="8"/>
  <c r="M32" i="8" s="1"/>
  <c r="N32" i="8" s="1"/>
  <c r="K34" i="8"/>
  <c r="M34" i="8" s="1"/>
  <c r="N34" i="8" s="1"/>
  <c r="K35" i="8"/>
  <c r="M35" i="8" s="1"/>
  <c r="N35" i="8" s="1"/>
  <c r="K37" i="8"/>
  <c r="M37" i="8" s="1"/>
  <c r="N37" i="8" s="1"/>
  <c r="K38" i="8"/>
  <c r="L38" i="8" s="1"/>
  <c r="K39" i="8"/>
  <c r="M39" i="8" s="1"/>
  <c r="N39" i="8" s="1"/>
  <c r="L34" i="8"/>
  <c r="L39" i="8"/>
  <c r="G22" i="8"/>
  <c r="G23" i="8"/>
  <c r="G25" i="8"/>
  <c r="G26" i="8"/>
  <c r="G28" i="8"/>
  <c r="G29" i="8"/>
  <c r="G31" i="8"/>
  <c r="G32" i="8"/>
  <c r="G34" i="8"/>
  <c r="G35" i="8"/>
  <c r="G37" i="8"/>
  <c r="G38" i="8"/>
  <c r="G39" i="8"/>
  <c r="J36" i="8"/>
  <c r="I36" i="8"/>
  <c r="K36" i="8" s="1"/>
  <c r="L36" i="8" s="1"/>
  <c r="H36" i="8"/>
  <c r="M36" i="8" s="1"/>
  <c r="N36" i="8" s="1"/>
  <c r="F36" i="8"/>
  <c r="E36" i="8"/>
  <c r="D36" i="8"/>
  <c r="C36" i="8"/>
  <c r="G36" i="8" s="1"/>
  <c r="J33" i="8"/>
  <c r="I33" i="8"/>
  <c r="K33" i="8" s="1"/>
  <c r="L33" i="8" s="1"/>
  <c r="H33" i="8"/>
  <c r="F33" i="8"/>
  <c r="E33" i="8"/>
  <c r="D33" i="8"/>
  <c r="C33" i="8"/>
  <c r="J30" i="8"/>
  <c r="I30" i="8"/>
  <c r="H30" i="8"/>
  <c r="F30" i="8"/>
  <c r="E30" i="8"/>
  <c r="D30" i="8"/>
  <c r="C30" i="8"/>
  <c r="G30" i="8" s="1"/>
  <c r="J27" i="8"/>
  <c r="I27" i="8"/>
  <c r="K27" i="8" s="1"/>
  <c r="L27" i="8" s="1"/>
  <c r="H27" i="8"/>
  <c r="F27" i="8"/>
  <c r="E27" i="8"/>
  <c r="D27" i="8"/>
  <c r="C27" i="8"/>
  <c r="J24" i="8"/>
  <c r="I24" i="8"/>
  <c r="K24" i="8" s="1"/>
  <c r="L24" i="8" s="1"/>
  <c r="H24" i="8"/>
  <c r="M24" i="8" s="1"/>
  <c r="N24" i="8" s="1"/>
  <c r="F24" i="8"/>
  <c r="E24" i="8"/>
  <c r="D24" i="8"/>
  <c r="C24" i="8"/>
  <c r="G24" i="8" s="1"/>
  <c r="L23" i="8"/>
  <c r="L25" i="8"/>
  <c r="L28" i="8"/>
  <c r="L29" i="8"/>
  <c r="L32" i="8"/>
  <c r="L35" i="8"/>
  <c r="L37" i="8"/>
  <c r="D21" i="8"/>
  <c r="E21" i="8"/>
  <c r="F21" i="8"/>
  <c r="H21" i="8"/>
  <c r="I21" i="8"/>
  <c r="K21" i="8" s="1"/>
  <c r="L21" i="8" s="1"/>
  <c r="J21" i="8"/>
  <c r="C21" i="8"/>
  <c r="C40" i="8" s="1"/>
  <c r="G33" i="8" l="1"/>
  <c r="M33" i="8"/>
  <c r="N33" i="8" s="1"/>
  <c r="D40" i="8"/>
  <c r="G40" i="8" s="1"/>
  <c r="F40" i="8"/>
  <c r="J40" i="8"/>
  <c r="M21" i="8"/>
  <c r="N21" i="8" s="1"/>
  <c r="E40" i="8"/>
  <c r="L31" i="8"/>
  <c r="G27" i="8"/>
  <c r="K30" i="8"/>
  <c r="L30" i="8" s="1"/>
  <c r="M27" i="8"/>
  <c r="N27" i="8" s="1"/>
  <c r="G21" i="8"/>
  <c r="M38" i="8"/>
  <c r="N38" i="8" s="1"/>
  <c r="M26" i="8"/>
  <c r="N26" i="8" s="1"/>
  <c r="I40" i="8"/>
  <c r="K40" i="8" s="1"/>
  <c r="L40" i="8" s="1"/>
  <c r="H40" i="8"/>
  <c r="M22" i="8"/>
  <c r="N22" i="8" s="1"/>
  <c r="D23" i="15"/>
  <c r="M30" i="8" l="1"/>
  <c r="N30" i="8" s="1"/>
  <c r="M40" i="8"/>
  <c r="N40" i="8" s="1"/>
  <c r="L39" i="16"/>
  <c r="I39" i="16"/>
  <c r="H39" i="16"/>
  <c r="G39" i="16"/>
  <c r="M39" i="16" s="1"/>
  <c r="L35" i="16"/>
  <c r="I35" i="16"/>
  <c r="H35" i="16"/>
  <c r="G35" i="16"/>
  <c r="M35" i="16" s="1"/>
  <c r="L14" i="16"/>
  <c r="I14" i="16"/>
  <c r="H14" i="16"/>
  <c r="G14" i="16"/>
  <c r="L10" i="16"/>
  <c r="I10" i="16"/>
  <c r="H10" i="16"/>
  <c r="G10" i="16"/>
  <c r="I43" i="16" l="1"/>
  <c r="M10" i="16"/>
  <c r="G43" i="16"/>
  <c r="H43" i="16"/>
  <c r="L43" i="16"/>
  <c r="M14" i="16"/>
  <c r="A16" i="11"/>
  <c r="L49" i="16" l="1"/>
  <c r="M43" i="16"/>
  <c r="G45" i="16"/>
  <c r="M45" i="16" s="1"/>
  <c r="H49" i="16"/>
  <c r="I49" i="16"/>
  <c r="F10" i="2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</calcChain>
</file>

<file path=xl/sharedStrings.xml><?xml version="1.0" encoding="utf-8"?>
<sst xmlns="http://schemas.openxmlformats.org/spreadsheetml/2006/main" count="979" uniqueCount="783">
  <si>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</si>
  <si>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</si>
  <si>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</si>
  <si>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</si>
  <si>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</si>
  <si>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</si>
  <si>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</si>
  <si>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</si>
  <si>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</si>
  <si>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</si>
  <si>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</si>
  <si>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</si>
  <si>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</si>
  <si>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</si>
  <si>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</si>
  <si>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</si>
  <si>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</si>
  <si>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</si>
  <si>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</si>
  <si>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</si>
  <si>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</si>
  <si>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</si>
  <si>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</si>
  <si>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</si>
  <si>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</si>
  <si>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</si>
  <si>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</si>
  <si>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</si>
  <si>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</si>
  <si>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</si>
  <si>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</si>
  <si>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</si>
  <si>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</si>
  <si>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</si>
  <si>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</si>
  <si>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</si>
  <si>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</si>
  <si>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</si>
  <si>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</si>
  <si>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</si>
  <si>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</si>
  <si>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</si>
  <si>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</si>
  <si>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</si>
  <si>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</si>
  <si>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</si>
  <si>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</si>
  <si>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</si>
  <si>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</si>
  <si>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</si>
  <si>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</si>
  <si>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</si>
  <si>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</si>
  <si>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</si>
  <si>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</si>
  <si>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</si>
  <si>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</si>
  <si>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</si>
  <si>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</si>
  <si>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</si>
  <si>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</si>
  <si>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</si>
  <si>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</si>
  <si>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</si>
  <si>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</si>
  <si>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</si>
  <si>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</si>
  <si>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</si>
  <si>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</si>
  <si>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</si>
  <si>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</si>
  <si>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</si>
  <si>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</si>
  <si>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</si>
  <si>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</si>
  <si>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</si>
  <si>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</si>
  <si>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</si>
  <si>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</si>
  <si>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</si>
  <si>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</si>
  <si>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</si>
  <si>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</si>
  <si>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彰化縣政府財政處對帳通知單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</si>
  <si>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</si>
  <si>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</si>
  <si>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</si>
  <si>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</si>
  <si>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</si>
  <si>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</si>
  <si>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</si>
  <si>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</si>
  <si>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</si>
  <si>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</si>
  <si>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</si>
  <si>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</si>
  <si>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</si>
  <si>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</si>
  <si>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</si>
  <si>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</si>
  <si>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</si>
  <si>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</si>
  <si>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</si>
  <si>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</si>
  <si>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</si>
  <si>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</si>
  <si>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</si>
  <si>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</si>
  <si>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</si>
  <si>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</si>
  <si>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</si>
  <si>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</si>
  <si>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</si>
  <si>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</si>
  <si>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</si>
  <si>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</si>
  <si>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</si>
  <si>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</si>
  <si>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</si>
  <si>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</si>
  <si>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</si>
  <si>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</si>
  <si>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</si>
  <si>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</si>
  <si>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</si>
  <si>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</si>
  <si>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</si>
  <si>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</si>
  <si>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</si>
  <si>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</si>
  <si>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</si>
  <si>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</si>
  <si>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</si>
  <si>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</si>
  <si>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</si>
  <si>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</si>
  <si>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</si>
  <si>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</si>
  <si>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</si>
  <si>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</si>
  <si>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</si>
  <si>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</si>
  <si>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</si>
  <si>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</si>
  <si>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</si>
  <si>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</si>
  <si>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</si>
  <si>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</si>
  <si>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</si>
  <si>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</si>
  <si>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</si>
  <si>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</si>
  <si>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</si>
  <si>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</si>
  <si>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</si>
  <si>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</si>
  <si>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</si>
  <si>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</si>
  <si>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</si>
  <si>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</si>
  <si>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</si>
  <si>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</si>
  <si>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</si>
  <si>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</si>
  <si>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</si>
  <si>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</si>
  <si>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</si>
  <si>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</si>
  <si>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</si>
  <si>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</si>
  <si>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</si>
  <si>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</si>
  <si>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</si>
  <si>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</si>
  <si>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</si>
  <si>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</si>
  <si>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</si>
  <si>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</si>
  <si>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</si>
  <si>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</si>
  <si>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</si>
  <si>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</si>
  <si>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</si>
  <si>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</si>
  <si>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</si>
  <si>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</si>
  <si>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</si>
  <si>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</si>
  <si>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</si>
  <si>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</si>
  <si>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</si>
  <si>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預付費用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</si>
  <si>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</si>
  <si>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</si>
  <si>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</si>
  <si>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</si>
  <si>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</si>
  <si>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</si>
  <si>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</si>
  <si>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</si>
  <si>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</si>
  <si>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</si>
  <si>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</si>
  <si>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</si>
  <si>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</si>
  <si>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</si>
  <si>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</si>
  <si>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</si>
  <si>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</si>
  <si>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</si>
  <si>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</si>
  <si>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</si>
  <si>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</si>
  <si>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</si>
  <si>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</si>
  <si>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</si>
  <si>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</si>
  <si>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</si>
  <si>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購建中固定資產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</si>
  <si>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</si>
  <si>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</si>
  <si>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</si>
  <si>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</si>
  <si>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</si>
  <si>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</si>
  <si>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</si>
  <si>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</si>
  <si>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</si>
  <si>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</si>
  <si>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</si>
  <si>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</si>
  <si>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</si>
  <si>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</si>
  <si>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</si>
  <si>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</si>
  <si>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</si>
  <si>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</si>
  <si>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</si>
  <si>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</si>
  <si>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</si>
  <si>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</si>
  <si>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</si>
  <si>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</si>
  <si>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</si>
  <si>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</si>
  <si>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</si>
  <si>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</si>
  <si>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</si>
  <si>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</si>
  <si>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</si>
  <si>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</si>
  <si>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</si>
  <si>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</si>
  <si>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</si>
  <si>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</si>
  <si>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</si>
  <si>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</si>
  <si>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</si>
  <si>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</si>
  <si>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</si>
  <si>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</si>
  <si>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</si>
  <si>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</si>
  <si>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</si>
  <si>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</si>
  <si>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</si>
  <si>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</si>
  <si>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</si>
  <si>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</si>
  <si>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</si>
  <si>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</si>
  <si>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</si>
  <si>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</si>
  <si>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</si>
  <si>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</si>
  <si>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電腦軟體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</si>
  <si>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</si>
  <si>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</si>
  <si>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</si>
  <si>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</si>
  <si>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</si>
  <si>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</si>
  <si>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</si>
  <si>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</si>
  <si>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</si>
  <si>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</si>
  <si>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</si>
  <si>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</si>
  <si>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</si>
  <si>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</si>
  <si>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5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</si>
  <si>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5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</si>
  <si>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5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</si>
  <si>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5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</si>
  <si>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5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</si>
  <si>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</si>
  <si>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</si>
  <si>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</si>
  <si>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</si>
  <si>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</si>
  <si>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</si>
  <si>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1.其他設備：</t>
    <phoneticPr fontId="10" type="noConversion"/>
  </si>
  <si>
    <t>資源回收收入超過預期。</t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</si>
  <si>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</si>
  <si>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</si>
  <si>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</si>
  <si>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</si>
  <si>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</si>
  <si>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</si>
  <si>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</si>
  <si>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</si>
  <si>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</si>
  <si>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</si>
  <si>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</si>
  <si>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</si>
  <si>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</si>
  <si>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</si>
  <si>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</si>
  <si>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</si>
  <si>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</si>
  <si>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</si>
  <si>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</si>
  <si>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</si>
  <si>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</si>
  <si>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</si>
  <si>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</si>
  <si>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</si>
  <si>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</si>
  <si>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</si>
  <si>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</si>
  <si>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</si>
  <si>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</si>
  <si>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</si>
  <si>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</si>
  <si>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</si>
  <si>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</si>
  <si>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</si>
  <si>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</si>
  <si>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</si>
  <si>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</si>
  <si>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</si>
  <si>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</si>
  <si>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</si>
  <si>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</si>
  <si>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</si>
  <si>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</si>
  <si>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</si>
  <si>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</si>
  <si>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</si>
  <si>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</si>
  <si>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</si>
  <si>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</si>
  <si>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</si>
  <si>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</si>
  <si>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</si>
  <si>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</si>
  <si>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</si>
  <si>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</si>
  <si>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</si>
  <si>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</si>
  <si>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</si>
  <si>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</si>
  <si>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</si>
  <si>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</si>
  <si>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</si>
  <si>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</si>
  <si>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</si>
  <si>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</si>
  <si>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</si>
  <si>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</si>
  <si>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</si>
  <si>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</si>
  <si>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</si>
  <si>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</si>
  <si>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</si>
  <si>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</si>
  <si>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</si>
  <si>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</si>
  <si>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零用金</t>
    <phoneticPr fontId="10" type="noConversion"/>
  </si>
  <si>
    <t>教育儲金</t>
    <phoneticPr fontId="10" type="noConversion"/>
  </si>
  <si>
    <t>午餐專戶</t>
    <phoneticPr fontId="10" type="noConversion"/>
  </si>
  <si>
    <t>保管金-帳面</t>
    <phoneticPr fontId="10" type="noConversion"/>
  </si>
  <si>
    <t>仁愛-帳面</t>
    <phoneticPr fontId="10" type="noConversion"/>
  </si>
  <si>
    <t>台銀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</si>
  <si>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</si>
  <si>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</si>
  <si>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</si>
  <si>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</si>
  <si>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</si>
  <si>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</si>
  <si>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</si>
  <si>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</si>
  <si>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</si>
  <si>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</si>
  <si>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</si>
  <si>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</si>
  <si>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</si>
  <si>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</si>
  <si>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</si>
  <si>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</si>
  <si>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</si>
  <si>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</si>
  <si>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</si>
  <si>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</si>
  <si>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</si>
  <si>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</si>
  <si>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</si>
  <si>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</si>
  <si>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</si>
  <si>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</si>
  <si>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</si>
  <si>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</si>
  <si>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</si>
  <si>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</si>
  <si>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</si>
  <si>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</si>
  <si>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</si>
  <si>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</si>
  <si>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</si>
  <si>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</si>
  <si>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</si>
  <si>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</si>
  <si>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</si>
  <si>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</si>
  <si>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</si>
  <si>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</si>
  <si>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</si>
  <si>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</si>
  <si>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</si>
  <si>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</si>
  <si>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</si>
  <si>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</si>
  <si>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</si>
  <si>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</si>
  <si>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</si>
  <si>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</si>
  <si>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</si>
  <si>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</si>
  <si>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</si>
  <si>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</si>
  <si>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</si>
  <si>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</si>
  <si>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</si>
  <si>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</si>
  <si>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</si>
  <si>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</si>
  <si>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</si>
  <si>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(一)</t>
    <phoneticPr fontId="10" type="noConversion"/>
  </si>
  <si>
    <t>服務收入：</t>
    <phoneticPr fontId="10" type="noConversion"/>
  </si>
  <si>
    <t>V</t>
    <phoneticPr fontId="10" type="noConversion"/>
  </si>
  <si>
    <t>(二)</t>
    <phoneticPr fontId="10" type="noConversion"/>
  </si>
  <si>
    <t>財產處分收入：</t>
    <phoneticPr fontId="10" type="noConversion"/>
  </si>
  <si>
    <t>V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</si>
  <si>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</si>
  <si>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</si>
  <si>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</si>
  <si>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本表係採會計基礎編製，與預算編列基礎之基金來源、用途及餘絀表不同。</t>
    <phoneticPr fontId="10" type="noConversion"/>
  </si>
  <si>
    <t>本表係採會計基礎編製，與預算編列基礎之基金來源、用途及餘絀表不同。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</si>
  <si>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</si>
  <si>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</si>
  <si>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</si>
  <si>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</si>
  <si>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報廢財物經惜物網拍賣分配之收入。</t>
  </si>
  <si>
    <t>電力系統改善工程款項預撥入戶，致保管金專戶利息收入增加。</t>
  </si>
  <si>
    <t>因校外社團及冷氣儲值費增加，致場地設施使用費增加。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</si>
  <si>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</si>
  <si>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</si>
  <si>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</si>
  <si>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</si>
  <si>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</si>
  <si>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</si>
  <si>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</si>
  <si>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</si>
  <si>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</si>
  <si>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</si>
  <si>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</si>
  <si>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</si>
  <si>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</si>
  <si>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</si>
  <si>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</si>
  <si>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</si>
  <si>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</si>
  <si>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</si>
  <si>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</si>
  <si>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</si>
  <si>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</si>
  <si>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</si>
  <si>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</si>
  <si>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</si>
  <si>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</si>
  <si>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</si>
  <si>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</si>
  <si>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</si>
  <si>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</si>
  <si>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</si>
  <si>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</si>
  <si>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</si>
  <si>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</si>
  <si>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</si>
  <si>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</si>
  <si>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</si>
  <si>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</si>
  <si>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</si>
  <si>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</si>
  <si>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</si>
  <si>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</si>
  <si>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</si>
  <si>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</si>
  <si>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</si>
  <si>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</si>
  <si>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</si>
  <si>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</si>
  <si>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</si>
  <si>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應付費用</t>
  </si>
  <si>
    <t>其他負債</t>
  </si>
  <si>
    <t>什項負債</t>
  </si>
  <si>
    <t>存入保證金</t>
  </si>
  <si>
    <t>淨資產</t>
  </si>
  <si>
    <t>累積餘額</t>
  </si>
  <si>
    <t>2</t>
  </si>
  <si>
    <t>21</t>
  </si>
  <si>
    <t>2102</t>
  </si>
  <si>
    <t>210203</t>
  </si>
  <si>
    <t>210204</t>
  </si>
  <si>
    <t>28</t>
  </si>
  <si>
    <t>2801</t>
  </si>
  <si>
    <t>280104</t>
  </si>
  <si>
    <t>3</t>
  </si>
  <si>
    <t>31</t>
  </si>
  <si>
    <t>3101</t>
  </si>
  <si>
    <t>310101</t>
  </si>
  <si>
    <t>用人費用</t>
  </si>
  <si>
    <t>-3.15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</si>
  <si>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</si>
  <si>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</si>
  <si>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</si>
  <si>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</si>
  <si>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</si>
  <si>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</si>
  <si>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</si>
  <si>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</si>
  <si>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</si>
  <si>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13</t>
  </si>
  <si>
    <t>超時工作報酬</t>
  </si>
  <si>
    <t>131</t>
  </si>
  <si>
    <t>加班費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</si>
  <si>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</si>
  <si>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</si>
  <si>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</si>
  <si>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</si>
  <si>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</si>
  <si>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</si>
  <si>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</si>
  <si>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</si>
  <si>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</si>
  <si>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</si>
  <si>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</si>
  <si>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</si>
  <si>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</si>
  <si>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</si>
  <si>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</si>
  <si>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</si>
  <si>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</si>
  <si>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-4.01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</si>
  <si>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</si>
  <si>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</si>
  <si>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</si>
  <si>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</si>
  <si>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</si>
  <si>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</si>
  <si>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</si>
  <si>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</si>
  <si>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</si>
  <si>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</si>
  <si>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</si>
  <si>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</si>
  <si>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</si>
  <si>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</si>
  <si>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</si>
  <si>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</si>
  <si>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</si>
  <si>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</si>
  <si>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</si>
  <si>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</si>
  <si>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</si>
  <si>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</si>
  <si>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</si>
  <si>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</si>
  <si>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</si>
  <si>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</si>
  <si>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</si>
  <si>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</si>
  <si>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</si>
  <si>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27D</t>
  </si>
  <si>
    <t>計時與計件人員酬金</t>
  </si>
  <si>
    <t>27F</t>
  </si>
  <si>
    <t>體育活動費</t>
  </si>
  <si>
    <t>專業服務費</t>
  </si>
  <si>
    <t>287</t>
  </si>
  <si>
    <t>委託檢驗(定)試驗認證費</t>
  </si>
  <si>
    <t>28A</t>
  </si>
  <si>
    <t>電腦軟體服務費</t>
  </si>
  <si>
    <t>28Y</t>
  </si>
  <si>
    <t>其他專業服務費</t>
  </si>
  <si>
    <t>29</t>
  </si>
  <si>
    <t>公共關係費</t>
  </si>
  <si>
    <t>291</t>
  </si>
  <si>
    <t>材料及用品費</t>
  </si>
  <si>
    <t>-56.20</t>
  </si>
  <si>
    <t>32</t>
  </si>
  <si>
    <t>用品消耗</t>
  </si>
  <si>
    <t>321</t>
  </si>
  <si>
    <t>辦公（事務）用品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</si>
  <si>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</si>
  <si>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</si>
  <si>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</si>
  <si>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</si>
  <si>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</si>
  <si>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</si>
  <si>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</si>
  <si>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</si>
  <si>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4.90</t>
  </si>
  <si>
    <t>41</t>
  </si>
  <si>
    <t>地租及水租</t>
  </si>
  <si>
    <t>411</t>
  </si>
  <si>
    <t>一般土地租金</t>
  </si>
  <si>
    <t>45</t>
  </si>
  <si>
    <t>雜項設備租金</t>
  </si>
  <si>
    <t>451</t>
  </si>
  <si>
    <t>6</t>
  </si>
  <si>
    <t>稅捐及規費(強制費)</t>
  </si>
  <si>
    <t>66</t>
  </si>
  <si>
    <t>規費</t>
  </si>
  <si>
    <t>661</t>
  </si>
  <si>
    <t>行政規費與強制費</t>
  </si>
  <si>
    <t>7</t>
  </si>
  <si>
    <t>會費、捐助、補助、分攤、照護、救濟與交流活動費</t>
  </si>
  <si>
    <t>-18.36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</si>
  <si>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</si>
  <si>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</si>
  <si>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</si>
  <si>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</si>
  <si>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</si>
  <si>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</si>
  <si>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</si>
  <si>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</si>
  <si>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</si>
  <si>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</si>
  <si>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</si>
  <si>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</si>
  <si>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</si>
  <si>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-68.42</t>
  </si>
  <si>
    <t>91</t>
  </si>
  <si>
    <t>其他支出</t>
  </si>
  <si>
    <t>91Y</t>
  </si>
  <si>
    <t>合       計</t>
  </si>
  <si>
    <t>-3.57</t>
  </si>
  <si>
    <t>11153017580030100</t>
  </si>
  <si>
    <t>地方教育發展基金</t>
  </si>
  <si>
    <t>上期結餘</t>
  </si>
  <si>
    <t>111/12/02</t>
  </si>
  <si>
    <t>支付數</t>
  </si>
  <si>
    <t>111/12/06</t>
  </si>
  <si>
    <t>00094</t>
  </si>
  <si>
    <t>1201434</t>
  </si>
  <si>
    <t>111/12/08</t>
  </si>
  <si>
    <t>00095</t>
  </si>
  <si>
    <t>1202381</t>
  </si>
  <si>
    <t>00096</t>
  </si>
  <si>
    <t>1202383</t>
  </si>
  <si>
    <t>111/12/12</t>
  </si>
  <si>
    <t>00097</t>
  </si>
  <si>
    <t>1203007</t>
  </si>
  <si>
    <t>111/12/14</t>
  </si>
  <si>
    <t>00098</t>
  </si>
  <si>
    <t>1203887</t>
  </si>
  <si>
    <t>111/12/16</t>
  </si>
  <si>
    <t>00099</t>
  </si>
  <si>
    <t>1205002</t>
  </si>
  <si>
    <t>111/12/22</t>
  </si>
  <si>
    <t>13991810131806</t>
  </si>
  <si>
    <t>收入數</t>
  </si>
  <si>
    <t>1200215</t>
  </si>
  <si>
    <t>支出收回</t>
  </si>
  <si>
    <t>1207058</t>
  </si>
  <si>
    <t>111/12/23</t>
  </si>
  <si>
    <t>111/12/27</t>
  </si>
  <si>
    <t>1209176</t>
  </si>
  <si>
    <t>小計</t>
  </si>
  <si>
    <t>175-1</t>
  </si>
  <si>
    <t>彰化縣地方教育發展基金－彰化縣秀水鄉馬興國民小學</t>
  </si>
  <si>
    <t>代收代辦經費收支餘額表</t>
  </si>
  <si>
    <t>中華民國111年1月1日至111年12月31日</t>
  </si>
  <si>
    <t>預算科目/用途別</t>
  </si>
  <si>
    <t>累計收入(A)</t>
  </si>
  <si>
    <t>簽證總數(B)</t>
  </si>
  <si>
    <t>累計實現數 (C )</t>
  </si>
  <si>
    <t>未過帳(D)</t>
  </si>
  <si>
    <t>已簽證尚未支付數(E)</t>
  </si>
  <si>
    <t>收支結存數(含已過帳)(F)=(A)-(C)</t>
  </si>
  <si>
    <t>收支結存數(含扣除未過帳)(G)=(F)-(D)</t>
  </si>
  <si>
    <t>收支結存數(不含已簽證尚未支付)(H)=(G)-(E)</t>
  </si>
  <si>
    <t>AA0001  應付代收款-零用戶#94046-零用金</t>
  </si>
  <si>
    <t>AA0002  應付代收款-零用戶#94046-其他</t>
  </si>
  <si>
    <t>BA0001  應付代收款-保管戶#94121-代收退撫金</t>
  </si>
  <si>
    <t>BA0002  應付代收款-保管戶#94121-代收公保費</t>
  </si>
  <si>
    <t>BA0004  應付代收款-保管戶#94121-代收勞保費</t>
  </si>
  <si>
    <t>BA0005  應付代收款-保管戶#94121-代收勞工退休金</t>
  </si>
  <si>
    <t>BA0006  應付代收款-保管戶#94121-代收所得稅</t>
  </si>
  <si>
    <t>BA0008  應付代收款-保管戶#94121-二代健保自付</t>
  </si>
  <si>
    <t>BA0009  應付代收款-保管戶#94121-二代健保機補</t>
  </si>
  <si>
    <t>BA0011  應付代收款-保管戶#94121-代收鐘點費</t>
  </si>
  <si>
    <t>BA0012  應付代收款-保管戶#94121-代收水電、電話費</t>
  </si>
  <si>
    <t>BA0013  應付代收款-保管戶#94121-代收健保費(公)</t>
  </si>
  <si>
    <t>BA0014  應付代收款-保管戶#94121-代收健保費(勞)</t>
  </si>
  <si>
    <t>CA0001  應付代收款-保管戶#94121-家長會費</t>
  </si>
  <si>
    <t>CA0002  應付代收款-保管戶#94121-平安保險費</t>
  </si>
  <si>
    <t>CA0004  應付代收款-保管戶#94121-教科書書籍費</t>
  </si>
  <si>
    <t>CB0001  應付代收款-保管戶#94121-校外教學</t>
  </si>
  <si>
    <t>CB0002  應付代收款-保管戶#94121-畢業紀念冊</t>
  </si>
  <si>
    <t>CB0010  應付代收款-保管戶#94121-舞蹈社團</t>
  </si>
  <si>
    <t>CB0013  應付代收款-保管戶#94121-烏克麗麗社團</t>
  </si>
  <si>
    <t>CB0015  應付代收款-保管戶#94121-輕黏土社團</t>
  </si>
  <si>
    <t>CB0019  應付代收款-保管戶#94121-卡林巴琴社團</t>
  </si>
  <si>
    <t>CB0020  應付代收款-保管戶外94121-足球社團</t>
  </si>
  <si>
    <t>CB0100  應付代收款-保管戶#94121-課後照顧</t>
  </si>
  <si>
    <t>DA0001  應付代收款-保管戶#94121-各項獎助學金</t>
  </si>
  <si>
    <t>DA0002  應付代收款-保管戶#94121-各項補助經費</t>
  </si>
  <si>
    <t>DA0003  應付代收款-保管戶#94121-班班有冷氣</t>
  </si>
  <si>
    <t>DA0004  應付代收款-保管戶#94121-秀水鄉農會補助</t>
  </si>
  <si>
    <t>DA0007  應付代收款-保管戶#94121-約聘人力</t>
  </si>
  <si>
    <t>DA0008  應付代收款-保管戶#94121-特教助理</t>
  </si>
  <si>
    <t>DA1101  應付代收款-保管戶#94121-電力系統改善</t>
  </si>
  <si>
    <t>EA0001  應付代收款-保管戶#94121-教職員退休金</t>
  </si>
  <si>
    <t>EA0006  應付代收款-保管戶#94121-婚喪生育子女教育補助</t>
  </si>
  <si>
    <t>FA0001  應付代收款-保管戶#94121-專戶利息</t>
  </si>
  <si>
    <t>FA0002  應付代收款-保管戶#94121-場地設施使用費</t>
  </si>
  <si>
    <t>FA0003  應付代收款-保管戶#94121-資源回收經費</t>
  </si>
  <si>
    <t>FA0008  應付代收款-台銀保管戶#196451-專戶利息</t>
  </si>
  <si>
    <t>FA0009  應付代收款-保管戶94121-玉山志工社會福利慈善事業基金會</t>
  </si>
  <si>
    <t>GA0003  應付代收款-午餐戶#94190-午餐費</t>
  </si>
  <si>
    <t>HA0001  應付代收款-仁愛專戶#94366-仁愛專戶</t>
  </si>
  <si>
    <t>HA0002  應付代收款-仁愛專戶#94366-仁愛專戶定存單</t>
  </si>
  <si>
    <t>HB0001  應付代收款-仁愛專戶#94366-獎學金專戶</t>
  </si>
  <si>
    <t>HC0001  應付代收款-仁愛專戶#94366-林謹獎助學金專戶</t>
  </si>
  <si>
    <t>HC0002  應付代收款-仁愛專戶#94366-林謹獎助學金專戶定存單</t>
  </si>
  <si>
    <t>HC0003  應付代收款-仁愛專戶#94366-許粘盆女士獎助基金</t>
  </si>
  <si>
    <t>HC0004  應付代收款-仁愛專戶#94366-許粘盆女士獎助基金定存單</t>
  </si>
  <si>
    <t>HC0005  應付代收款-仁愛專戶#94366- 林春複‧林吳鴦慈善會獎助學金</t>
  </si>
  <si>
    <t>HC0006  應付代收款-仁愛專戶#94366-凱文獎助學金</t>
  </si>
  <si>
    <t>HC0007  應付代收款-仁愛專戶#94366-南管社團發展基金</t>
  </si>
  <si>
    <t>HC0008  應付代收款-仁愛專戶#94366-蕭桃子女士獎助學金</t>
  </si>
  <si>
    <t>KA0001  暫收及待結轉帳項-#196451-學生代收代辦費</t>
  </si>
  <si>
    <t>M00001  應付代收款-保管戶#94121-指定用途捐款-外語教育經費</t>
  </si>
  <si>
    <t>M00003  應付代收款-保管戶#94121-指定用途捐款-本校教學設備及師生活動經費</t>
  </si>
  <si>
    <t>M00006  應付代收款-保管戶#94121-指定用途捐款-補助代收代辦、課後照顧及獎助學金</t>
  </si>
  <si>
    <t>M00007  應付代收款-保管戶#94121-指定用途捐款-補助課後照顧及獎助學金</t>
  </si>
  <si>
    <t>M00008  應付代收款-保管戶#94121-指定用途捐款-獎助學生、充實教學環境設備</t>
  </si>
  <si>
    <t>XA1101  存入保證金-#94121-押標金-活動中心廣播視聽(神奕)</t>
  </si>
  <si>
    <t>YA0028  存入保證金-#94121-履約保證金-午餐食材採購(承富)</t>
  </si>
  <si>
    <t>YA0032  存入保證金-#94121-履約保證金-午餐食材採購(豐成)</t>
  </si>
  <si>
    <t>YA0901  存入保證金-#94121-履約保證金-109年度午餐食材採購(承富)</t>
  </si>
  <si>
    <t>YA1002  存入保證金-#94121-履約保證金-彰化縣中小學電力系統改善工程(言瑞)</t>
  </si>
  <si>
    <t>YA1003  存入保證金-#94121-履約保證金-校園創意(共融式)兒童遊戲場等(爵鼎)</t>
  </si>
  <si>
    <t>YA1004  存入保證金-#94121-履約保證金-活動中心拆除重建工程(達陞)</t>
  </si>
  <si>
    <t>YA1101  存入保證金-#94121-履約保證金-校園危險欄杆(女兒牆)修繕工程(振宏)</t>
  </si>
  <si>
    <t>YA1102  存入保證金-#94121-履約保證金-活動中心廣播視聽(神奕)</t>
  </si>
  <si>
    <t>YA1103  存入保證金-#94121-履約保證金-活動中心舞台布幕(亦達)</t>
  </si>
  <si>
    <t>YA1104  存入保證金-#94121-履約保證金-活動中心照明設備(亦達)</t>
  </si>
  <si>
    <t>YA1105  存入保證金-#94121-履約保證金-112年度午餐食材採購(豐成)</t>
  </si>
  <si>
    <t>YA1106  存入保證金-#94121-履約保證金-112年度午餐食材採購(承富)</t>
  </si>
  <si>
    <t>ZA0014  存入保證金-#94121-保固金-106北棟教室耐震工程(達陞111.9.5)</t>
  </si>
  <si>
    <t>ZA0018  存入保證金-#94121-保固金-108操揚排水改善(福隆111.10.30)</t>
  </si>
  <si>
    <t>ZA0901  存入保證金-#94121-保固金-108視聽大樓廁所整(永昌111.11.12)</t>
  </si>
  <si>
    <t>ZA1001  存入保證金-#94121-保固金-智慧教室-視訊分配(華經112.12.30)</t>
  </si>
  <si>
    <t>ZA1002  存入保證金-#94121-保固金-智慧教室-螢幕等(華經114.12.30)</t>
  </si>
  <si>
    <t>ZA1003  存入保證金-#94121-保固金-110北、東棟耐震工程(展育115.5.11)</t>
  </si>
  <si>
    <t>ZA1004  存入保證金-#94121-保固金-109辦公室廁所整修(正昌112.7.27)</t>
  </si>
  <si>
    <t>ZA1101  存入保證金-#94121-保固金-109兒童遊戲場(爵鼎114.1.18)</t>
  </si>
  <si>
    <t>ZA1102  存入保證金-#94121-保固金-電力系統改善工程(言瑞113.6.9)</t>
  </si>
  <si>
    <t>ZA1103  存入保證金-#94121-保固金-校園危險欄杆修繕工程(振宏114.10.12)</t>
  </si>
  <si>
    <t>總和 :</t>
  </si>
  <si>
    <t>活存對帳單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</si>
</sst>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04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sz val="11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b/>
      <sz val="10.5"/>
      <color indexed="8"/>
      <name val="新細明體"/>
      <family val="1"/>
      <charset val="136"/>
    </font>
    <font>
      <sz val="10"/>
      <color rgb="FF000000"/>
      <name val="微軟正黑體"/>
      <family val="2"/>
      <charset val="136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8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82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0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Fill="1" applyBorder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3" fontId="27" fillId="0" borderId="0" xfId="3" applyNumberFormat="1" applyFont="1" applyFill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 applyBorder="1"/>
    <xf numFmtId="0" fontId="23" fillId="0" borderId="0" xfId="6" applyBorder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49" fontId="23" fillId="0" borderId="0" xfId="6" applyNumberFormat="1" applyBorder="1" applyAlignment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 applyAlignment="1"/>
    <xf numFmtId="0" fontId="23" fillId="0" borderId="2" xfId="6" applyBorder="1"/>
    <xf numFmtId="0" fontId="23" fillId="0" borderId="9" xfId="6" applyBorder="1"/>
    <xf numFmtId="0" fontId="23" fillId="0" borderId="0" xfId="6" applyFont="1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6" applyNumberFormat="1"/>
    <xf numFmtId="49" fontId="23" fillId="0" borderId="0" xfId="3" applyNumberFormat="1" applyFont="1">
      <alignment vertical="center"/>
    </xf>
    <xf numFmtId="0" fontId="23" fillId="0" borderId="0" xfId="3" applyFont="1">
      <alignment vertical="center"/>
    </xf>
    <xf numFmtId="177" fontId="17" fillId="0" borderId="0" xfId="8" applyNumberFormat="1" applyFont="1">
      <alignment vertical="center"/>
    </xf>
    <xf numFmtId="49" fontId="23" fillId="0" borderId="0" xfId="5" applyNumberFormat="1" applyFont="1" applyProtection="1">
      <protection locked="0"/>
    </xf>
    <xf numFmtId="0" fontId="23" fillId="0" borderId="0" xfId="5" applyFon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35" fillId="0" borderId="0" xfId="5" applyFont="1" applyBorder="1" applyProtection="1">
      <protection locked="0"/>
    </xf>
    <xf numFmtId="0" fontId="35" fillId="0" borderId="3" xfId="5" applyFont="1" applyBorder="1" applyAlignme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Font="1" applyProtection="1">
      <protection locked="0"/>
    </xf>
    <xf numFmtId="0" fontId="23" fillId="0" borderId="0" xfId="5" applyFont="1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23" fillId="0" borderId="0" xfId="5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37" fillId="0" borderId="0" xfId="0" applyFont="1" applyAlignment="1">
      <alignment horizontal="lef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19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 applyAlignment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 applyAlignment="1">
      <alignment vertical="top"/>
    </xf>
    <xf numFmtId="176" fontId="51" fillId="0" borderId="1" xfId="3" applyNumberFormat="1" applyFont="1" applyFill="1" applyBorder="1">
      <alignment vertical="center"/>
    </xf>
    <xf numFmtId="176" fontId="51" fillId="2" borderId="1" xfId="3" applyNumberFormat="1" applyFont="1" applyFill="1" applyBorder="1">
      <alignment vertical="center"/>
    </xf>
    <xf numFmtId="176" fontId="51" fillId="0" borderId="1" xfId="3" applyNumberFormat="1" applyFont="1" applyBorder="1">
      <alignment vertical="center"/>
    </xf>
    <xf numFmtId="49" fontId="52" fillId="0" borderId="0" xfId="3" applyNumberFormat="1" applyFont="1">
      <alignment vertical="center"/>
    </xf>
    <xf numFmtId="0" fontId="52" fillId="0" borderId="0" xfId="3" applyFont="1">
      <alignment vertical="center"/>
    </xf>
    <xf numFmtId="177" fontId="53" fillId="0" borderId="0" xfId="8" applyNumberFormat="1" applyFont="1">
      <alignment vertical="center"/>
    </xf>
    <xf numFmtId="3" fontId="50" fillId="0" borderId="12" xfId="1" applyNumberFormat="1" applyFont="1" applyBorder="1" applyAlignment="1">
      <alignment horizontal="right" vertical="top" wrapText="1"/>
    </xf>
    <xf numFmtId="2" fontId="50" fillId="0" borderId="8" xfId="1" applyNumberFormat="1" applyFont="1" applyBorder="1" applyAlignment="1">
      <alignment horizontal="right" vertical="top" wrapText="1"/>
    </xf>
    <xf numFmtId="2" fontId="50" fillId="0" borderId="9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 applyAlignment="1">
      <alignment vertical="top"/>
    </xf>
    <xf numFmtId="176" fontId="8" fillId="0" borderId="0" xfId="0" applyNumberFormat="1" applyFont="1" applyBorder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6" xfId="0" applyNumberFormat="1" applyFont="1" applyBorder="1">
      <alignment vertical="top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 applyAlignment="1">
      <alignment vertical="top"/>
    </xf>
    <xf numFmtId="176" fontId="8" fillId="0" borderId="2" xfId="0" applyNumberFormat="1" applyFont="1" applyBorder="1" applyAlignment="1">
      <alignment vertical="top"/>
    </xf>
    <xf numFmtId="176" fontId="8" fillId="0" borderId="9" xfId="0" applyNumberFormat="1" applyFont="1" applyBorder="1" applyAlignment="1">
      <alignment vertical="top"/>
    </xf>
    <xf numFmtId="176" fontId="8" fillId="0" borderId="8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 applyAlignment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1" fillId="0" borderId="0" xfId="1" applyNumberFormat="1">
      <alignment vertical="top"/>
    </xf>
    <xf numFmtId="0" fontId="7" fillId="0" borderId="16" xfId="0" applyFont="1" applyBorder="1" applyAlignment="1">
      <alignment horizontal="justify" vertical="top" wrapText="1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11" fillId="0" borderId="7" xfId="1" applyBorder="1" applyAlignment="1">
      <alignment vertical="top"/>
    </xf>
    <xf numFmtId="0" fontId="11" fillId="0" borderId="0" xfId="1" applyAlignment="1">
      <alignment vertical="top"/>
    </xf>
    <xf numFmtId="0" fontId="11" fillId="0" borderId="9" xfId="1" applyBorder="1" applyAlignment="1">
      <alignment vertical="top"/>
    </xf>
    <xf numFmtId="0" fontId="7" fillId="0" borderId="12" xfId="1" applyFont="1" applyBorder="1" applyAlignment="1">
      <alignment horizontal="center" vertical="top" wrapText="1"/>
    </xf>
    <xf numFmtId="0" fontId="47" fillId="0" borderId="15" xfId="1" applyFont="1" applyBorder="1" applyAlignment="1">
      <alignment vertical="top"/>
    </xf>
    <xf numFmtId="0" fontId="11" fillId="0" borderId="12" xfId="1" applyBorder="1" applyAlignment="1">
      <alignment vertical="top"/>
    </xf>
    <xf numFmtId="0" fontId="11" fillId="0" borderId="1" xfId="1" applyBorder="1" applyAlignment="1">
      <alignment vertical="top"/>
    </xf>
    <xf numFmtId="0" fontId="7" fillId="0" borderId="11" xfId="1" applyFont="1" applyBorder="1" applyAlignment="1">
      <alignment horizontal="center" vertical="top" wrapText="1"/>
    </xf>
    <xf numFmtId="0" fontId="11" fillId="0" borderId="15" xfId="1" applyBorder="1" applyAlignment="1">
      <alignment vertical="top"/>
    </xf>
    <xf numFmtId="177" fontId="47" fillId="0" borderId="0" xfId="7" applyNumberFormat="1" applyFont="1" applyFill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3" fillId="0" borderId="0" xfId="5" applyFont="1" applyBorder="1" applyAlignment="1" applyProtection="1">
      <alignment horizontal="center" vertical="center" wrapText="1"/>
      <protection locked="0"/>
    </xf>
    <xf numFmtId="0" fontId="54" fillId="0" borderId="0" xfId="0" applyFont="1" applyFill="1" applyAlignment="1">
      <alignment vertical="top" wrapText="1"/>
    </xf>
    <xf numFmtId="177" fontId="54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 applyAlignment="1">
      <alignment vertical="top"/>
    </xf>
    <xf numFmtId="0" fontId="15" fillId="0" borderId="12" xfId="1" applyFont="1" applyBorder="1" applyAlignment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 applyAlignment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9" fillId="0" borderId="0" xfId="5" applyNumberFormat="1" applyFont="1" applyAlignment="1" applyProtection="1">
      <alignment horizontal="center" vertical="center"/>
      <protection locked="0"/>
    </xf>
    <xf numFmtId="0" fontId="59" fillId="0" borderId="0" xfId="5" applyFont="1" applyAlignment="1" applyProtection="1">
      <alignment horizontal="center" vertical="center"/>
      <protection locked="0"/>
    </xf>
    <xf numFmtId="177" fontId="59" fillId="0" borderId="0" xfId="8" applyNumberFormat="1" applyFont="1" applyAlignment="1" applyProtection="1">
      <alignment horizontal="center" vertical="center" wrapText="1"/>
      <protection locked="0"/>
    </xf>
    <xf numFmtId="177" fontId="59" fillId="0" borderId="0" xfId="8" applyNumberFormat="1" applyFont="1" applyAlignment="1" applyProtection="1">
      <alignment horizontal="center" vertical="center"/>
      <protection locked="0"/>
    </xf>
    <xf numFmtId="49" fontId="59" fillId="0" borderId="0" xfId="12" applyNumberFormat="1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horizontal="right" vertical="center" wrapText="1"/>
    </xf>
    <xf numFmtId="49" fontId="59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7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1" fillId="0" borderId="1" xfId="8" applyNumberFormat="1" applyFont="1" applyBorder="1" applyAlignment="1" applyProtection="1">
      <protection locked="0"/>
    </xf>
    <xf numFmtId="180" fontId="55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60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2" fillId="0" borderId="0" xfId="1" applyFont="1">
      <alignment vertical="top"/>
    </xf>
    <xf numFmtId="0" fontId="62" fillId="0" borderId="0" xfId="1" applyFont="1" applyAlignment="1">
      <alignment horizontal="center" vertical="center"/>
    </xf>
    <xf numFmtId="0" fontId="63" fillId="0" borderId="0" xfId="0" applyFont="1" applyAlignment="1"/>
    <xf numFmtId="0" fontId="55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5" fillId="0" borderId="0" xfId="8" applyNumberFormat="1" applyFont="1" applyAlignment="1" applyProtection="1">
      <protection locked="0"/>
    </xf>
    <xf numFmtId="0" fontId="55" fillId="0" borderId="0" xfId="5" applyFont="1" applyProtection="1">
      <protection locked="0"/>
    </xf>
    <xf numFmtId="49" fontId="64" fillId="0" borderId="0" xfId="3" applyNumberFormat="1" applyFont="1">
      <alignment vertical="center"/>
    </xf>
    <xf numFmtId="0" fontId="64" fillId="0" borderId="0" xfId="3" applyFont="1">
      <alignment vertical="center"/>
    </xf>
    <xf numFmtId="177" fontId="67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1" xfId="1" applyFont="1" applyBorder="1" applyAlignment="1">
      <alignment horizontal="center" vertical="center" wrapText="1" readingOrder="1"/>
    </xf>
    <xf numFmtId="3" fontId="50" fillId="0" borderId="8" xfId="1" applyNumberFormat="1" applyFont="1" applyBorder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0" fontId="19" fillId="0" borderId="0" xfId="1" applyFont="1" applyAlignment="1">
      <alignment horizontal="center" vertical="top" wrapText="1"/>
    </xf>
    <xf numFmtId="177" fontId="69" fillId="0" borderId="0" xfId="7" applyNumberFormat="1" applyFont="1">
      <alignment vertical="top"/>
    </xf>
    <xf numFmtId="0" fontId="70" fillId="0" borderId="0" xfId="1" applyFont="1">
      <alignment vertical="top"/>
    </xf>
    <xf numFmtId="0" fontId="19" fillId="0" borderId="0" xfId="1" applyFont="1" applyAlignment="1">
      <alignment horizontal="center" vertical="top" wrapText="1"/>
    </xf>
    <xf numFmtId="177" fontId="73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5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6" fillId="0" borderId="10" xfId="0" applyFont="1" applyBorder="1">
      <alignment vertical="top"/>
    </xf>
    <xf numFmtId="0" fontId="76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9" fillId="0" borderId="0" xfId="7" applyNumberFormat="1" applyFont="1">
      <alignment vertical="top"/>
    </xf>
    <xf numFmtId="3" fontId="78" fillId="0" borderId="0" xfId="1" applyNumberFormat="1" applyFont="1">
      <alignment vertical="top"/>
    </xf>
    <xf numFmtId="3" fontId="80" fillId="0" borderId="0" xfId="1" applyNumberFormat="1" applyFont="1">
      <alignment vertical="top"/>
    </xf>
    <xf numFmtId="177" fontId="80" fillId="0" borderId="0" xfId="1" applyNumberFormat="1" applyFont="1">
      <alignment vertical="top"/>
    </xf>
    <xf numFmtId="180" fontId="78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" xfId="1" applyFont="1" applyBorder="1" applyAlignment="1">
      <alignment vertical="top"/>
    </xf>
    <xf numFmtId="0" fontId="8" fillId="0" borderId="13" xfId="1" applyFont="1" applyBorder="1" applyAlignment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0" fontId="8" fillId="0" borderId="0" xfId="1" applyFont="1" applyAlignment="1">
      <alignment vertical="top"/>
    </xf>
    <xf numFmtId="0" fontId="8" fillId="0" borderId="15" xfId="1" applyFont="1" applyBorder="1" applyAlignment="1">
      <alignment vertical="top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8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1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6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2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2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2" fillId="0" borderId="1" xfId="7" applyNumberFormat="1" applyFont="1" applyBorder="1" applyAlignment="1">
      <alignment wrapText="1"/>
    </xf>
    <xf numFmtId="177" fontId="82" fillId="8" borderId="1" xfId="7" applyNumberFormat="1" applyFont="1" applyFill="1" applyBorder="1" applyAlignment="1" applyProtection="1">
      <alignment horizontal="right"/>
    </xf>
    <xf numFmtId="0" fontId="23" fillId="0" borderId="1" xfId="13" applyFont="1" applyFill="1" applyBorder="1" applyAlignment="1" applyProtection="1">
      <alignment horizontal="center" wrapText="1"/>
      <protection locked="0"/>
    </xf>
    <xf numFmtId="177" fontId="82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Font="1" applyFill="1" applyBorder="1" applyAlignment="1" applyProtection="1">
      <alignment horizontal="center" vertical="top" wrapText="1"/>
      <protection locked="0"/>
    </xf>
    <xf numFmtId="177" fontId="82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Font="1" applyFill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2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3" fillId="0" borderId="0" xfId="7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3" fillId="0" borderId="0" xfId="7" applyNumberFormat="1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4" fillId="0" borderId="0" xfId="0" applyNumberFormat="1" applyFont="1" applyAlignment="1" applyProtection="1">
      <protection locked="0"/>
    </xf>
    <xf numFmtId="0" fontId="84" fillId="0" borderId="0" xfId="0" applyFont="1" applyAlignment="1" applyProtection="1">
      <protection locked="0"/>
    </xf>
    <xf numFmtId="177" fontId="85" fillId="0" borderId="0" xfId="7" applyNumberFormat="1" applyFont="1" applyAlignment="1" applyProtection="1">
      <alignment horizontal="right"/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5" fillId="0" borderId="15" xfId="0" applyFont="1" applyBorder="1" applyAlignment="1" applyProtection="1">
      <protection locked="0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19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6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0" fontId="85" fillId="0" borderId="0" xfId="1" applyFont="1">
      <alignment vertical="top"/>
    </xf>
    <xf numFmtId="177" fontId="85" fillId="0" borderId="0" xfId="7" applyNumberFormat="1" applyFont="1">
      <alignment vertical="top"/>
    </xf>
    <xf numFmtId="0" fontId="8" fillId="0" borderId="6" xfId="1" applyFont="1" applyBorder="1">
      <alignment vertical="top"/>
    </xf>
    <xf numFmtId="0" fontId="8" fillId="0" borderId="0" xfId="1" applyFont="1" applyBorder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5" fillId="0" borderId="6" xfId="0" applyFont="1" applyBorder="1">
      <alignment vertical="top"/>
    </xf>
    <xf numFmtId="180" fontId="53" fillId="0" borderId="6" xfId="1" applyNumberFormat="1" applyFont="1" applyBorder="1" applyAlignment="1">
      <alignment horizontal="right" vertical="center"/>
    </xf>
    <xf numFmtId="180" fontId="7" fillId="0" borderId="0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horizontal="right" vertical="center"/>
    </xf>
    <xf numFmtId="180" fontId="53" fillId="0" borderId="6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vertical="center"/>
    </xf>
    <xf numFmtId="0" fontId="7" fillId="0" borderId="0" xfId="1" applyFont="1">
      <alignment vertical="top"/>
    </xf>
    <xf numFmtId="177" fontId="87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0" fontId="7" fillId="0" borderId="11" xfId="1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 applyAlignment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9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9" fillId="0" borderId="0" xfId="7" applyNumberFormat="1" applyFont="1" applyAlignment="1">
      <alignment vertical="center"/>
    </xf>
    <xf numFmtId="177" fontId="64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7" fillId="0" borderId="12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 applyAlignment="1">
      <alignment vertical="top"/>
    </xf>
    <xf numFmtId="180" fontId="46" fillId="0" borderId="10" xfId="14" applyNumberFormat="1" applyFont="1" applyBorder="1" applyAlignment="1">
      <alignment vertical="top"/>
    </xf>
    <xf numFmtId="180" fontId="46" fillId="0" borderId="4" xfId="14" applyNumberFormat="1" applyFont="1" applyBorder="1" applyAlignment="1">
      <alignment vertical="top"/>
    </xf>
    <xf numFmtId="180" fontId="11" fillId="0" borderId="5" xfId="1" applyNumberFormat="1" applyBorder="1" applyAlignment="1">
      <alignment vertical="top"/>
    </xf>
    <xf numFmtId="180" fontId="11" fillId="0" borderId="4" xfId="1" applyNumberFormat="1" applyBorder="1" applyAlignment="1">
      <alignment vertical="top"/>
    </xf>
    <xf numFmtId="180" fontId="11" fillId="0" borderId="3" xfId="1" applyNumberFormat="1" applyBorder="1" applyAlignment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 applyAlignment="1">
      <alignment vertical="top"/>
    </xf>
    <xf numFmtId="180" fontId="46" fillId="0" borderId="11" xfId="14" applyNumberFormat="1" applyFont="1" applyBorder="1" applyAlignment="1">
      <alignment vertical="top"/>
    </xf>
    <xf numFmtId="180" fontId="46" fillId="0" borderId="6" xfId="14" applyNumberFormat="1" applyFont="1" applyBorder="1" applyAlignment="1">
      <alignment vertical="top"/>
    </xf>
    <xf numFmtId="180" fontId="11" fillId="0" borderId="7" xfId="1" applyNumberFormat="1" applyBorder="1" applyAlignment="1">
      <alignment vertical="top"/>
    </xf>
    <xf numFmtId="180" fontId="11" fillId="0" borderId="6" xfId="1" applyNumberFormat="1" applyBorder="1" applyAlignment="1">
      <alignment vertical="top"/>
    </xf>
    <xf numFmtId="180" fontId="11" fillId="0" borderId="0" xfId="1" applyNumberFormat="1" applyBorder="1" applyAlignment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46" fillId="0" borderId="11" xfId="14" applyNumberFormat="1" applyFont="1" applyBorder="1" applyAlignment="1">
      <alignment horizontal="right" vertical="top" wrapText="1"/>
    </xf>
    <xf numFmtId="180" fontId="46" fillId="0" borderId="6" xfId="14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21" fillId="0" borderId="0" xfId="1" applyNumberFormat="1" applyFont="1" applyBorder="1" applyAlignment="1">
      <alignment horizontal="left" vertical="top" wrapText="1"/>
    </xf>
    <xf numFmtId="180" fontId="46" fillId="0" borderId="12" xfId="1" applyNumberFormat="1" applyFont="1" applyBorder="1" applyAlignment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80" fontId="46" fillId="0" borderId="12" xfId="14" applyNumberFormat="1" applyFont="1" applyBorder="1" applyAlignment="1">
      <alignment horizontal="right" vertical="top" wrapText="1"/>
    </xf>
    <xf numFmtId="180" fontId="46" fillId="0" borderId="8" xfId="14" applyNumberFormat="1" applyFont="1" applyBorder="1" applyAlignment="1">
      <alignment horizontal="right" vertical="top" wrapText="1"/>
    </xf>
    <xf numFmtId="180" fontId="11" fillId="0" borderId="9" xfId="1" applyNumberFormat="1" applyBorder="1" applyAlignment="1">
      <alignment vertical="top"/>
    </xf>
    <xf numFmtId="180" fontId="11" fillId="0" borderId="8" xfId="1" applyNumberFormat="1" applyBorder="1" applyAlignment="1">
      <alignment vertical="top"/>
    </xf>
    <xf numFmtId="180" fontId="11" fillId="0" borderId="2" xfId="1" applyNumberFormat="1" applyBorder="1" applyAlignment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9" fillId="0" borderId="7" xfId="0" applyNumberFormat="1" applyFont="1" applyBorder="1" applyAlignment="1">
      <alignment horizontal="right" wrapText="1"/>
    </xf>
    <xf numFmtId="3" fontId="22" fillId="0" borderId="6" xfId="0" applyNumberFormat="1" applyFont="1" applyBorder="1" applyAlignment="1">
      <alignment horizontal="right" vertical="top" wrapText="1"/>
    </xf>
    <xf numFmtId="3" fontId="22" fillId="0" borderId="0" xfId="0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0" fontId="8" fillId="0" borderId="11" xfId="0" applyFont="1" applyBorder="1" applyAlignment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7" fillId="0" borderId="6" xfId="0" applyFont="1" applyBorder="1" applyAlignment="1">
      <alignment vertical="top"/>
    </xf>
    <xf numFmtId="0" fontId="85" fillId="0" borderId="6" xfId="0" applyFont="1" applyBorder="1" applyAlignment="1">
      <alignment vertical="top"/>
    </xf>
    <xf numFmtId="0" fontId="85" fillId="0" borderId="0" xfId="0" applyFont="1" applyBorder="1" applyAlignment="1">
      <alignment vertical="top"/>
    </xf>
    <xf numFmtId="0" fontId="85" fillId="0" borderId="7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77" fontId="7" fillId="0" borderId="0" xfId="7" applyNumberFormat="1" applyFont="1" applyBorder="1" applyAlignment="1">
      <alignment vertical="top"/>
    </xf>
    <xf numFmtId="177" fontId="7" fillId="0" borderId="7" xfId="7" applyNumberFormat="1" applyFont="1" applyBorder="1" applyAlignment="1">
      <alignment vertical="top"/>
    </xf>
    <xf numFmtId="176" fontId="7" fillId="0" borderId="7" xfId="7" applyNumberFormat="1" applyFont="1" applyBorder="1" applyAlignment="1">
      <alignment vertical="top"/>
    </xf>
    <xf numFmtId="176" fontId="7" fillId="0" borderId="0" xfId="0" applyNumberFormat="1" applyFont="1" applyBorder="1" applyAlignment="1">
      <alignment vertical="top"/>
    </xf>
    <xf numFmtId="176" fontId="7" fillId="0" borderId="7" xfId="7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3" fontId="7" fillId="0" borderId="0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horizontal="right" vertical="top"/>
    </xf>
    <xf numFmtId="176" fontId="7" fillId="0" borderId="11" xfId="7" applyNumberFormat="1" applyFont="1" applyBorder="1" applyAlignment="1">
      <alignment horizontal="right" vertical="top"/>
    </xf>
    <xf numFmtId="176" fontId="90" fillId="0" borderId="11" xfId="7" applyNumberFormat="1" applyFont="1" applyBorder="1" applyAlignment="1">
      <alignment vertical="top"/>
    </xf>
    <xf numFmtId="177" fontId="91" fillId="0" borderId="0" xfId="7" applyNumberFormat="1" applyFont="1" applyFill="1">
      <alignment vertical="top"/>
    </xf>
    <xf numFmtId="177" fontId="92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0" fontId="7" fillId="0" borderId="16" xfId="0" applyFont="1" applyBorder="1" applyAlignment="1">
      <alignment horizontal="justify" vertical="top" wrapText="1"/>
    </xf>
    <xf numFmtId="176" fontId="90" fillId="0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vertical="top"/>
    </xf>
    <xf numFmtId="176" fontId="90" fillId="9" borderId="12" xfId="7" applyNumberFormat="1" applyFont="1" applyFill="1" applyBorder="1" applyAlignment="1">
      <alignment horizontal="right" vertical="center"/>
    </xf>
    <xf numFmtId="0" fontId="47" fillId="0" borderId="0" xfId="0" applyFont="1" applyFill="1" applyAlignment="1">
      <alignment vertical="top" wrapText="1"/>
    </xf>
    <xf numFmtId="177" fontId="92" fillId="0" borderId="0" xfId="7" applyNumberFormat="1" applyFont="1" applyFill="1">
      <alignment vertical="top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7" fillId="0" borderId="1" xfId="0" applyFont="1" applyFill="1" applyBorder="1" applyAlignment="1">
      <alignment vertical="top" wrapText="1"/>
    </xf>
    <xf numFmtId="177" fontId="93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>
      <alignment vertical="top"/>
    </xf>
    <xf numFmtId="180" fontId="94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177" fontId="95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7" fillId="0" borderId="1" xfId="0" applyFont="1" applyBorder="1" applyAlignment="1">
      <alignment vertical="top" wrapText="1"/>
    </xf>
    <xf numFmtId="180" fontId="47" fillId="10" borderId="1" xfId="7" applyNumberFormat="1" applyFont="1" applyFill="1" applyBorder="1">
      <alignment vertical="top"/>
    </xf>
    <xf numFmtId="0" fontId="54" fillId="0" borderId="1" xfId="0" applyFont="1" applyFill="1" applyBorder="1" applyAlignment="1">
      <alignment vertical="top" wrapText="1"/>
    </xf>
    <xf numFmtId="177" fontId="47" fillId="0" borderId="1" xfId="7" applyNumberFormat="1" applyFont="1" applyBorder="1" applyAlignment="1">
      <alignment vertical="top" wrapText="1"/>
    </xf>
    <xf numFmtId="177" fontId="47" fillId="11" borderId="1" xfId="7" applyNumberFormat="1" applyFont="1" applyFill="1" applyBorder="1" applyAlignment="1">
      <alignment vertical="top" wrapText="1"/>
    </xf>
    <xf numFmtId="180" fontId="47" fillId="11" borderId="1" xfId="7" applyNumberFormat="1" applyFont="1" applyFill="1" applyBorder="1">
      <alignment vertical="top"/>
    </xf>
    <xf numFmtId="0" fontId="47" fillId="4" borderId="1" xfId="0" applyFont="1" applyFill="1" applyBorder="1" applyAlignment="1">
      <alignment vertical="top" wrapText="1"/>
    </xf>
    <xf numFmtId="177" fontId="47" fillId="4" borderId="1" xfId="7" applyNumberFormat="1" applyFont="1" applyFill="1" applyBorder="1" applyAlignment="1">
      <alignment vertical="top" wrapText="1"/>
    </xf>
    <xf numFmtId="180" fontId="47" fillId="4" borderId="1" xfId="7" applyNumberFormat="1" applyFont="1" applyFill="1" applyBorder="1">
      <alignment vertical="top"/>
    </xf>
    <xf numFmtId="0" fontId="48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82" fontId="8" fillId="0" borderId="12" xfId="0" applyNumberFormat="1" applyFont="1" applyBorder="1" applyAlignment="1">
      <alignment vertical="top"/>
    </xf>
    <xf numFmtId="0" fontId="85" fillId="0" borderId="9" xfId="0" applyFont="1" applyFill="1" applyBorder="1" applyAlignment="1">
      <alignment vertical="top"/>
    </xf>
    <xf numFmtId="180" fontId="53" fillId="0" borderId="8" xfId="1" applyNumberFormat="1" applyFont="1" applyFill="1" applyBorder="1" applyAlignment="1">
      <alignment horizontal="right" vertical="center"/>
    </xf>
    <xf numFmtId="180" fontId="7" fillId="0" borderId="2" xfId="1" applyNumberFormat="1" applyFont="1" applyFill="1" applyBorder="1" applyAlignment="1">
      <alignment vertical="center"/>
    </xf>
    <xf numFmtId="180" fontId="53" fillId="0" borderId="2" xfId="1" applyNumberFormat="1" applyFont="1" applyFill="1" applyBorder="1" applyAlignment="1">
      <alignment horizontal="right" vertical="center"/>
    </xf>
    <xf numFmtId="176" fontId="7" fillId="0" borderId="9" xfId="7" applyNumberFormat="1" applyFont="1" applyFill="1" applyBorder="1" applyAlignment="1">
      <alignment vertical="top"/>
    </xf>
    <xf numFmtId="3" fontId="7" fillId="0" borderId="8" xfId="0" applyNumberFormat="1" applyFont="1" applyFill="1" applyBorder="1" applyAlignment="1">
      <alignment horizontal="right" vertical="top"/>
    </xf>
    <xf numFmtId="3" fontId="7" fillId="0" borderId="2" xfId="0" applyNumberFormat="1" applyFont="1" applyFill="1" applyBorder="1" applyAlignment="1">
      <alignment horizontal="right" vertical="top"/>
    </xf>
    <xf numFmtId="176" fontId="7" fillId="0" borderId="2" xfId="0" applyNumberFormat="1" applyFont="1" applyFill="1" applyBorder="1" applyAlignment="1">
      <alignment horizontal="right" vertical="top"/>
    </xf>
    <xf numFmtId="0" fontId="2" fillId="0" borderId="0" xfId="1" applyFont="1" applyFill="1">
      <alignment vertical="top"/>
    </xf>
    <xf numFmtId="177" fontId="7" fillId="12" borderId="5" xfId="7" applyNumberFormat="1" applyFont="1" applyFill="1" applyBorder="1">
      <alignment vertical="top"/>
    </xf>
    <xf numFmtId="3" fontId="22" fillId="12" borderId="4" xfId="0" applyNumberFormat="1" applyFont="1" applyFill="1" applyBorder="1" applyAlignment="1">
      <alignment horizontal="right" vertical="top" wrapText="1"/>
    </xf>
    <xf numFmtId="3" fontId="22" fillId="12" borderId="3" xfId="0" applyNumberFormat="1" applyFont="1" applyFill="1" applyBorder="1" applyAlignment="1">
      <alignment horizontal="right" vertical="top" wrapText="1"/>
    </xf>
    <xf numFmtId="176" fontId="7" fillId="12" borderId="5" xfId="7" applyNumberFormat="1" applyFont="1" applyFill="1" applyBorder="1" applyAlignment="1">
      <alignment horizontal="right" vertical="top"/>
    </xf>
    <xf numFmtId="3" fontId="7" fillId="12" borderId="4" xfId="0" applyNumberFormat="1" applyFont="1" applyFill="1" applyBorder="1" applyAlignment="1">
      <alignment horizontal="right" vertical="top"/>
    </xf>
    <xf numFmtId="3" fontId="7" fillId="12" borderId="3" xfId="0" applyNumberFormat="1" applyFont="1" applyFill="1" applyBorder="1" applyAlignment="1">
      <alignment horizontal="right" vertical="top"/>
    </xf>
    <xf numFmtId="176" fontId="7" fillId="12" borderId="3" xfId="0" applyNumberFormat="1" applyFont="1" applyFill="1" applyBorder="1" applyAlignment="1">
      <alignment horizontal="right" vertical="top"/>
    </xf>
    <xf numFmtId="177" fontId="2" fillId="12" borderId="0" xfId="7" applyNumberFormat="1" applyFont="1" applyFill="1">
      <alignment vertical="top"/>
    </xf>
    <xf numFmtId="0" fontId="7" fillId="12" borderId="6" xfId="0" applyFont="1" applyFill="1" applyBorder="1" applyAlignment="1">
      <alignment horizontal="left" vertical="top" wrapText="1"/>
    </xf>
    <xf numFmtId="3" fontId="22" fillId="12" borderId="6" xfId="0" applyNumberFormat="1" applyFont="1" applyFill="1" applyBorder="1" applyAlignment="1">
      <alignment horizontal="right" vertical="top" wrapText="1"/>
    </xf>
    <xf numFmtId="3" fontId="22" fillId="12" borderId="0" xfId="0" applyNumberFormat="1" applyFont="1" applyFill="1" applyBorder="1" applyAlignment="1">
      <alignment horizontal="right" vertical="top" wrapText="1"/>
    </xf>
    <xf numFmtId="176" fontId="7" fillId="12" borderId="7" xfId="7" applyNumberFormat="1" applyFont="1" applyFill="1" applyBorder="1" applyAlignment="1">
      <alignment horizontal="right" vertical="top"/>
    </xf>
    <xf numFmtId="3" fontId="7" fillId="12" borderId="6" xfId="0" applyNumberFormat="1" applyFont="1" applyFill="1" applyBorder="1" applyAlignment="1">
      <alignment horizontal="right" vertical="top"/>
    </xf>
    <xf numFmtId="3" fontId="7" fillId="12" borderId="0" xfId="0" applyNumberFormat="1" applyFont="1" applyFill="1" applyBorder="1" applyAlignment="1">
      <alignment horizontal="right" vertical="top"/>
    </xf>
    <xf numFmtId="176" fontId="7" fillId="12" borderId="0" xfId="0" applyNumberFormat="1" applyFont="1" applyFill="1" applyBorder="1" applyAlignment="1">
      <alignment horizontal="right" vertical="top"/>
    </xf>
    <xf numFmtId="0" fontId="7" fillId="12" borderId="6" xfId="0" applyFont="1" applyFill="1" applyBorder="1" applyAlignment="1">
      <alignment vertical="top"/>
    </xf>
    <xf numFmtId="0" fontId="85" fillId="12" borderId="6" xfId="0" applyFont="1" applyFill="1" applyBorder="1" applyAlignment="1">
      <alignment vertical="top"/>
    </xf>
    <xf numFmtId="0" fontId="2" fillId="12" borderId="0" xfId="1" applyFont="1" applyFill="1">
      <alignment vertical="top"/>
    </xf>
    <xf numFmtId="0" fontId="7" fillId="12" borderId="0" xfId="0" applyFont="1" applyFill="1" applyBorder="1" applyAlignment="1">
      <alignment vertical="top"/>
    </xf>
    <xf numFmtId="177" fontId="7" fillId="12" borderId="0" xfId="7" applyNumberFormat="1" applyFont="1" applyFill="1" applyBorder="1" applyAlignment="1">
      <alignment vertical="top"/>
    </xf>
    <xf numFmtId="177" fontId="7" fillId="12" borderId="7" xfId="7" applyNumberFormat="1" applyFont="1" applyFill="1" applyBorder="1" applyAlignment="1">
      <alignment vertical="top"/>
    </xf>
    <xf numFmtId="0" fontId="85" fillId="12" borderId="0" xfId="0" applyFont="1" applyFill="1" applyBorder="1" applyAlignment="1">
      <alignment vertical="top"/>
    </xf>
    <xf numFmtId="176" fontId="7" fillId="12" borderId="7" xfId="7" applyNumberFormat="1" applyFont="1" applyFill="1" applyBorder="1" applyAlignment="1">
      <alignment vertical="top"/>
    </xf>
    <xf numFmtId="176" fontId="7" fillId="12" borderId="0" xfId="0" applyNumberFormat="1" applyFont="1" applyFill="1" applyBorder="1" applyAlignment="1">
      <alignment vertical="top"/>
    </xf>
    <xf numFmtId="177" fontId="85" fillId="12" borderId="7" xfId="7" applyNumberFormat="1" applyFont="1" applyFill="1" applyBorder="1" applyAlignment="1">
      <alignment vertical="top"/>
    </xf>
    <xf numFmtId="0" fontId="7" fillId="12" borderId="0" xfId="0" applyFont="1" applyFill="1" applyBorder="1" applyAlignment="1">
      <alignment horizontal="left" vertical="top"/>
    </xf>
    <xf numFmtId="177" fontId="7" fillId="12" borderId="0" xfId="7" applyNumberFormat="1" applyFont="1" applyFill="1" applyBorder="1" applyAlignment="1">
      <alignment horizontal="left" vertical="top"/>
    </xf>
    <xf numFmtId="177" fontId="7" fillId="12" borderId="7" xfId="7" applyNumberFormat="1" applyFont="1" applyFill="1" applyBorder="1" applyAlignment="1">
      <alignment horizontal="left" vertical="top"/>
    </xf>
    <xf numFmtId="0" fontId="7" fillId="0" borderId="2" xfId="0" applyFont="1" applyBorder="1" applyAlignment="1"/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3" fontId="22" fillId="0" borderId="6" xfId="0" applyNumberFormat="1" applyFont="1" applyFill="1" applyBorder="1" applyAlignment="1">
      <alignment horizontal="right" vertical="top" wrapText="1"/>
    </xf>
    <xf numFmtId="3" fontId="22" fillId="0" borderId="0" xfId="0" applyNumberFormat="1" applyFont="1" applyFill="1" applyBorder="1" applyAlignment="1">
      <alignment horizontal="right" vertical="top" wrapText="1"/>
    </xf>
    <xf numFmtId="176" fontId="7" fillId="0" borderId="7" xfId="7" applyNumberFormat="1" applyFont="1" applyFill="1" applyBorder="1" applyAlignment="1">
      <alignment horizontal="right" vertical="top"/>
    </xf>
    <xf numFmtId="3" fontId="7" fillId="0" borderId="6" xfId="0" applyNumberFormat="1" applyFont="1" applyFill="1" applyBorder="1" applyAlignment="1">
      <alignment horizontal="right" vertical="top"/>
    </xf>
    <xf numFmtId="3" fontId="7" fillId="0" borderId="0" xfId="0" applyNumberFormat="1" applyFont="1" applyFill="1" applyBorder="1" applyAlignment="1">
      <alignment horizontal="right" vertical="top"/>
    </xf>
    <xf numFmtId="176" fontId="7" fillId="0" borderId="0" xfId="0" applyNumberFormat="1" applyFont="1" applyFill="1" applyBorder="1" applyAlignment="1">
      <alignment horizontal="right" vertical="top"/>
    </xf>
    <xf numFmtId="177" fontId="2" fillId="0" borderId="0" xfId="7" applyNumberFormat="1" applyFont="1" applyFill="1">
      <alignment vertical="top"/>
    </xf>
    <xf numFmtId="177" fontId="91" fillId="0" borderId="0" xfId="7" applyNumberFormat="1" applyFont="1" applyFill="1" applyAlignment="1">
      <alignment horizontal="right" vertical="top"/>
    </xf>
    <xf numFmtId="0" fontId="96" fillId="0" borderId="0" xfId="0" applyFont="1">
      <alignment vertical="top"/>
    </xf>
    <xf numFmtId="180" fontId="93" fillId="0" borderId="13" xfId="7" applyNumberFormat="1" applyFont="1" applyFill="1" applyBorder="1" applyAlignment="1">
      <alignment horizontal="center" vertical="top"/>
    </xf>
    <xf numFmtId="180" fontId="93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3" fillId="0" borderId="15" xfId="7" applyNumberFormat="1" applyFont="1" applyFill="1" applyBorder="1" applyAlignment="1">
      <alignment horizontal="right" vertical="top"/>
    </xf>
    <xf numFmtId="177" fontId="82" fillId="7" borderId="13" xfId="7" applyNumberFormat="1" applyFont="1" applyFill="1" applyBorder="1" applyAlignment="1" applyProtection="1">
      <alignment horizontal="right"/>
      <protection locked="0"/>
    </xf>
    <xf numFmtId="0" fontId="98" fillId="0" borderId="13" xfId="0" applyFont="1" applyBorder="1" applyAlignment="1" applyProtection="1">
      <protection locked="0"/>
    </xf>
    <xf numFmtId="0" fontId="98" fillId="0" borderId="13" xfId="0" applyFont="1" applyBorder="1" applyAlignment="1" applyProtection="1">
      <alignment horizontal="center"/>
      <protection locked="0"/>
    </xf>
    <xf numFmtId="49" fontId="59" fillId="0" borderId="0" xfId="7" applyNumberFormat="1" applyFont="1" applyBorder="1" applyAlignment="1" applyProtection="1">
      <alignment vertical="center" wrapText="1"/>
    </xf>
    <xf numFmtId="49" fontId="59" fillId="0" borderId="0" xfId="7" applyNumberFormat="1" applyFont="1" applyAlignment="1">
      <alignment vertical="center"/>
    </xf>
    <xf numFmtId="49" fontId="64" fillId="0" borderId="0" xfId="7" applyNumberFormat="1" applyFont="1" applyAlignment="1">
      <alignment vertical="center"/>
    </xf>
    <xf numFmtId="0" fontId="35" fillId="0" borderId="3" xfId="5" applyFont="1" applyBorder="1" applyAlignment="1" applyProtection="1">
      <alignment horizontal="center"/>
      <protection locked="0"/>
    </xf>
    <xf numFmtId="0" fontId="35" fillId="0" borderId="0" xfId="5" applyFont="1" applyBorder="1" applyAlignment="1" applyProtection="1">
      <alignment horizontal="center"/>
      <protection locked="0"/>
    </xf>
    <xf numFmtId="177" fontId="23" fillId="0" borderId="0" xfId="8" applyNumberFormat="1" applyFont="1" applyAlignment="1" applyProtection="1">
      <alignment horizontal="center"/>
      <protection locked="0"/>
    </xf>
    <xf numFmtId="177" fontId="55" fillId="0" borderId="0" xfId="8" applyNumberFormat="1" applyFont="1" applyAlignment="1" applyProtection="1">
      <alignment horizontal="center"/>
      <protection locked="0"/>
    </xf>
    <xf numFmtId="0" fontId="23" fillId="0" borderId="0" xfId="5" applyAlignment="1" applyProtection="1">
      <alignment horizontal="center"/>
      <protection locked="0"/>
    </xf>
    <xf numFmtId="3" fontId="3" fillId="0" borderId="0" xfId="0" applyNumberFormat="1" applyFont="1" applyAlignment="1">
      <alignment horizontal="right" vertical="top"/>
    </xf>
    <xf numFmtId="0" fontId="101" fillId="0" borderId="0" xfId="0" applyFont="1" applyAlignment="1">
      <alignment horizontal="left" vertical="top" wrapText="1" readingOrder="1"/>
    </xf>
    <xf numFmtId="3" fontId="102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0" fontId="92" fillId="0" borderId="0" xfId="0" applyFont="1">
      <alignment vertical="top"/>
    </xf>
    <xf numFmtId="0" fontId="92" fillId="14" borderId="0" xfId="0" applyFont="1" applyFill="1">
      <alignment vertical="top"/>
    </xf>
    <xf numFmtId="3" fontId="92" fillId="14" borderId="0" xfId="0" applyNumberFormat="1" applyFont="1" applyFill="1">
      <alignment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0" fontId="92" fillId="15" borderId="0" xfId="0" applyFont="1" applyFill="1">
      <alignment vertical="top"/>
    </xf>
    <xf numFmtId="0" fontId="92" fillId="13" borderId="0" xfId="0" applyFont="1" applyFill="1">
      <alignment vertical="top"/>
    </xf>
    <xf numFmtId="3" fontId="92" fillId="13" borderId="0" xfId="0" applyNumberFormat="1" applyFont="1" applyFill="1">
      <alignment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0" fontId="92" fillId="16" borderId="0" xfId="0" applyFont="1" applyFill="1">
      <alignment vertical="top"/>
    </xf>
    <xf numFmtId="3" fontId="92" fillId="16" borderId="0" xfId="0" applyNumberFormat="1" applyFont="1" applyFill="1">
      <alignment vertical="top"/>
    </xf>
    <xf numFmtId="3" fontId="0" fillId="0" borderId="0" xfId="0" applyNumberFormat="1">
      <alignment vertical="top"/>
    </xf>
    <xf numFmtId="0" fontId="103" fillId="0" borderId="0" xfId="0" applyFont="1" applyAlignment="1" applyProtection="1">
      <alignment horizontal="center"/>
      <protection locked="0"/>
    </xf>
    <xf numFmtId="0" fontId="3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40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40" fillId="0" borderId="0" xfId="0" applyFont="1" applyAlignment="1">
      <alignment vertical="top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3" fontId="102" fillId="0" borderId="0" xfId="0" applyNumberFormat="1" applyFont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0" fontId="3" fillId="13" borderId="0" xfId="0" applyFont="1" applyFill="1" applyAlignment="1">
      <alignment horizontal="left" vertical="top" wrapText="1" readingOrder="1"/>
    </xf>
    <xf numFmtId="3" fontId="16" fillId="13" borderId="0" xfId="0" applyNumberFormat="1" applyFont="1" applyFill="1" applyAlignment="1">
      <alignment horizontal="right" vertical="top"/>
    </xf>
    <xf numFmtId="0" fontId="3" fillId="16" borderId="0" xfId="0" applyFont="1" applyFill="1" applyAlignment="1">
      <alignment horizontal="left" vertical="top" wrapText="1" readingOrder="1"/>
    </xf>
    <xf numFmtId="0" fontId="3" fillId="14" borderId="0" xfId="0" applyFont="1" applyFill="1" applyAlignment="1">
      <alignment horizontal="left" vertical="top" wrapText="1" readingOrder="1"/>
    </xf>
    <xf numFmtId="3" fontId="16" fillId="14" borderId="0" xfId="0" applyNumberFormat="1" applyFont="1" applyFill="1" applyAlignment="1">
      <alignment horizontal="right" vertical="top"/>
    </xf>
    <xf numFmtId="0" fontId="3" fillId="15" borderId="0" xfId="0" applyFont="1" applyFill="1" applyAlignment="1">
      <alignment horizontal="left" vertical="top" wrapText="1" readingOrder="1"/>
    </xf>
    <xf numFmtId="0" fontId="99" fillId="0" borderId="0" xfId="0" applyFont="1" applyAlignment="1">
      <alignment horizontal="right" vertical="top"/>
    </xf>
    <xf numFmtId="0" fontId="100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center" wrapText="1"/>
    </xf>
    <xf numFmtId="0" fontId="9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20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1" xfId="0" applyFont="1" applyBorder="1" applyAlignment="1">
      <alignment horizontal="center" vertical="center" wrapText="1" readingOrder="1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176" fontId="8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7" xfId="0" applyNumberFormat="1" applyFont="1" applyBorder="1" applyAlignment="1">
      <alignment horizontal="left" vertical="top" wrapText="1"/>
    </xf>
    <xf numFmtId="176" fontId="8" fillId="0" borderId="4" xfId="0" applyNumberFormat="1" applyFont="1" applyBorder="1" applyAlignment="1">
      <alignment vertical="top" wrapText="1" readingOrder="1"/>
    </xf>
    <xf numFmtId="176" fontId="8" fillId="0" borderId="5" xfId="0" applyNumberFormat="1" applyFont="1" applyBorder="1" applyAlignment="1">
      <alignment vertical="top" wrapText="1" readingOrder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4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3" fillId="0" borderId="0" xfId="0" applyFont="1" applyAlignment="1">
      <alignment horizontal="left" vertical="top" wrapText="1"/>
    </xf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Border="1" applyAlignment="1">
      <alignment horizontal="center"/>
    </xf>
    <xf numFmtId="0" fontId="7" fillId="0" borderId="0" xfId="0" applyFont="1" applyAlignment="1"/>
    <xf numFmtId="0" fontId="63" fillId="0" borderId="0" xfId="0" applyFont="1" applyAlignment="1">
      <alignment vertical="top" wrapText="1"/>
    </xf>
    <xf numFmtId="0" fontId="7" fillId="12" borderId="0" xfId="0" applyFont="1" applyFill="1" applyBorder="1" applyAlignment="1">
      <alignment horizontal="left" vertical="top"/>
    </xf>
    <xf numFmtId="0" fontId="7" fillId="12" borderId="7" xfId="0" applyFont="1" applyFill="1" applyBorder="1" applyAlignment="1">
      <alignment horizontal="left" vertical="top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12" borderId="4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left" vertical="top" readingOrder="1"/>
    </xf>
    <xf numFmtId="0" fontId="7" fillId="0" borderId="0" xfId="0" applyFont="1" applyBorder="1" applyAlignment="1">
      <alignment horizontal="left" vertical="top" readingOrder="1"/>
    </xf>
    <xf numFmtId="0" fontId="7" fillId="0" borderId="8" xfId="0" applyFont="1" applyFill="1" applyBorder="1" applyAlignment="1">
      <alignment horizontal="left" vertical="top" readingOrder="1"/>
    </xf>
    <xf numFmtId="0" fontId="7" fillId="0" borderId="2" xfId="0" applyFont="1" applyFill="1" applyBorder="1" applyAlignment="1">
      <alignment horizontal="left" vertical="top" readingOrder="1"/>
    </xf>
    <xf numFmtId="0" fontId="7" fillId="12" borderId="6" xfId="0" applyFont="1" applyFill="1" applyBorder="1" applyAlignment="1">
      <alignment horizontal="left" vertical="top"/>
    </xf>
    <xf numFmtId="0" fontId="7" fillId="12" borderId="6" xfId="0" applyFont="1" applyFill="1" applyBorder="1" applyAlignment="1">
      <alignment horizontal="left" vertical="top" readingOrder="1"/>
    </xf>
    <xf numFmtId="0" fontId="7" fillId="12" borderId="0" xfId="0" applyFont="1" applyFill="1" applyBorder="1" applyAlignment="1">
      <alignment horizontal="left" vertical="top" readingOrder="1"/>
    </xf>
    <xf numFmtId="177" fontId="7" fillId="12" borderId="0" xfId="7" applyNumberFormat="1" applyFont="1" applyFill="1" applyBorder="1" applyAlignment="1">
      <alignment horizontal="left" vertical="top" readingOrder="1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0" borderId="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55" fillId="0" borderId="13" xfId="0" applyFont="1" applyBorder="1" applyAlignment="1" applyProtection="1">
      <alignment horizontal="left"/>
      <protection locked="0"/>
    </xf>
    <xf numFmtId="0" fontId="55" fillId="0" borderId="15" xfId="0" applyFont="1" applyBorder="1" applyAlignment="1" applyProtection="1">
      <alignment horizontal="left"/>
      <protection locked="0"/>
    </xf>
    <xf numFmtId="0" fontId="81" fillId="0" borderId="0" xfId="0" applyFont="1" applyAlignment="1" applyProtection="1">
      <alignment horizontal="center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0" fontId="55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1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3" xfId="7" applyNumberFormat="1" applyFont="1" applyFill="1" applyBorder="1" applyAlignment="1" applyProtection="1">
      <alignment horizontal="center"/>
      <protection locked="0"/>
    </xf>
    <xf numFmtId="180" fontId="81" fillId="6" borderId="15" xfId="7" applyNumberFormat="1" applyFont="1" applyFill="1" applyBorder="1" applyAlignment="1" applyProtection="1">
      <alignment horizontal="center"/>
      <protection locked="0"/>
    </xf>
    <xf numFmtId="180" fontId="81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8" fillId="0" borderId="8" xfId="1" applyNumberFormat="1" applyFont="1" applyBorder="1" applyAlignment="1">
      <alignment vertical="top" wrapText="1"/>
    </xf>
    <xf numFmtId="180" fontId="8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8" fillId="0" borderId="4" xfId="1" applyNumberFormat="1" applyFont="1" applyBorder="1" applyAlignment="1">
      <alignment vertical="top" wrapText="1"/>
    </xf>
    <xf numFmtId="0" fontId="8" fillId="0" borderId="1" xfId="1" applyFont="1" applyBorder="1" applyAlignment="1">
      <alignment horizontal="center" vertical="center" wrapText="1" readingOrder="1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 readingOrder="1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2" xfId="1" applyFont="1" applyBorder="1" applyAlignment="1">
      <alignment horizontal="right" vertical="top" wrapText="1" readingOrder="1"/>
    </xf>
    <xf numFmtId="0" fontId="0" fillId="0" borderId="8" xfId="0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 readingOrder="1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71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2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7" fillId="0" borderId="0" xfId="1" applyFont="1" applyAlignment="1">
      <alignment horizontal="center" vertical="top" wrapText="1"/>
    </xf>
    <xf numFmtId="0" fontId="78" fillId="0" borderId="0" xfId="0" applyFont="1" applyAlignment="1">
      <alignment horizontal="center" vertical="top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0" xfId="6" applyAlignment="1"/>
    <xf numFmtId="0" fontId="23" fillId="0" borderId="13" xfId="6" applyBorder="1" applyAlignment="1"/>
    <xf numFmtId="0" fontId="23" fillId="0" borderId="15" xfId="6" applyBorder="1" applyAlignment="1"/>
    <xf numFmtId="0" fontId="23" fillId="0" borderId="14" xfId="6" applyBorder="1" applyAlignment="1"/>
    <xf numFmtId="0" fontId="23" fillId="0" borderId="4" xfId="6" applyBorder="1" applyAlignment="1"/>
    <xf numFmtId="0" fontId="23" fillId="0" borderId="3" xfId="6" applyBorder="1" applyAlignment="1"/>
    <xf numFmtId="0" fontId="23" fillId="0" borderId="2" xfId="6" applyBorder="1" applyAlignment="1"/>
    <xf numFmtId="179" fontId="23" fillId="0" borderId="2" xfId="6" applyNumberFormat="1" applyFont="1" applyBorder="1" applyAlignment="1"/>
    <xf numFmtId="179" fontId="23" fillId="0" borderId="2" xfId="6" applyNumberFormat="1" applyBorder="1" applyAlignment="1"/>
    <xf numFmtId="179" fontId="23" fillId="0" borderId="9" xfId="6" applyNumberFormat="1" applyBorder="1" applyAlignment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Font="1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0" fontId="23" fillId="0" borderId="13" xfId="6" applyFont="1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23" fillId="0" borderId="0" xfId="6" applyBorder="1" applyAlignment="1"/>
    <xf numFmtId="0" fontId="23" fillId="0" borderId="13" xfId="6" applyFont="1" applyBorder="1" applyAlignment="1"/>
    <xf numFmtId="0" fontId="9" fillId="0" borderId="3" xfId="6" applyFont="1" applyBorder="1" applyAlignment="1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84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10\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20351;&#29992;&#32773;\Downloads\snd_rp_acc_ms_balance_v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11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10\&#26376;&#22577;-110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11\&#26376;&#22577;-1110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4">
          <cell r="T14">
            <v>9136763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購健固定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4">
          <cell r="N14">
            <v>38497987</v>
          </cell>
        </row>
        <row r="15">
          <cell r="N15">
            <v>5640</v>
          </cell>
        </row>
        <row r="16">
          <cell r="N16">
            <v>5640</v>
          </cell>
        </row>
        <row r="17">
          <cell r="N17">
            <v>3715057</v>
          </cell>
        </row>
        <row r="18">
          <cell r="N18">
            <v>4680</v>
          </cell>
        </row>
        <row r="19">
          <cell r="N19">
            <v>0</v>
          </cell>
        </row>
        <row r="20">
          <cell r="N20">
            <v>473018</v>
          </cell>
        </row>
        <row r="21">
          <cell r="N21">
            <v>3237359</v>
          </cell>
        </row>
        <row r="22">
          <cell r="N22">
            <v>34765827</v>
          </cell>
        </row>
        <row r="23">
          <cell r="N23">
            <v>34765827</v>
          </cell>
        </row>
        <row r="24">
          <cell r="N24">
            <v>11463</v>
          </cell>
        </row>
        <row r="25">
          <cell r="N25">
            <v>11463</v>
          </cell>
        </row>
        <row r="26">
          <cell r="N26">
            <v>37584354</v>
          </cell>
        </row>
        <row r="27">
          <cell r="N27">
            <v>33487065</v>
          </cell>
        </row>
        <row r="28">
          <cell r="N28">
            <v>33487065</v>
          </cell>
        </row>
        <row r="29">
          <cell r="N29">
            <v>1451733</v>
          </cell>
        </row>
        <row r="30">
          <cell r="N30">
            <v>1451733</v>
          </cell>
        </row>
        <row r="31">
          <cell r="N31">
            <v>4652</v>
          </cell>
        </row>
        <row r="32">
          <cell r="N32">
            <v>4652</v>
          </cell>
        </row>
        <row r="33">
          <cell r="N33">
            <v>2632664</v>
          </cell>
        </row>
        <row r="34">
          <cell r="N34">
            <v>2632664</v>
          </cell>
        </row>
        <row r="35">
          <cell r="N35">
            <v>8240</v>
          </cell>
        </row>
        <row r="36">
          <cell r="N36">
            <v>8240</v>
          </cell>
        </row>
        <row r="37">
          <cell r="N37">
            <v>913633</v>
          </cell>
        </row>
        <row r="38">
          <cell r="N38">
            <v>42531681</v>
          </cell>
        </row>
        <row r="39">
          <cell r="N39">
            <v>0</v>
          </cell>
        </row>
        <row r="40">
          <cell r="N40">
            <v>43445314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Sheet1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1">
          <cell r="C31">
            <v>2344442</v>
          </cell>
          <cell r="D31">
            <v>40187239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4">
          <cell r="N14">
            <v>9027899</v>
          </cell>
        </row>
      </sheetData>
      <sheetData sheetId="11"/>
      <sheetData sheetId="12"/>
      <sheetData sheetId="13">
        <row r="4">
          <cell r="L4">
            <v>2344442</v>
          </cell>
        </row>
      </sheetData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40625" defaultRowHeight="14.25"/>
  <cols>
    <col min="1" max="6" width="9.140625" style="59"/>
    <col min="7" max="7" width="10.42578125" style="59" bestFit="1" customWidth="1"/>
    <col min="8" max="8" width="14" style="59" customWidth="1"/>
    <col min="9" max="9" width="9.28515625" style="59" bestFit="1" customWidth="1"/>
    <col min="10" max="10" width="9.140625" style="59"/>
    <col min="11" max="11" width="6.85546875" style="59" bestFit="1" customWidth="1"/>
    <col min="12" max="12" width="10.5703125" style="59" customWidth="1"/>
    <col min="13" max="13" width="7.140625" style="59" bestFit="1" customWidth="1"/>
    <col min="14" max="16384" width="9.140625" style="59"/>
  </cols>
  <sheetData>
    <row r="1" spans="1:14" ht="36.75">
      <c r="A1" s="63" t="s">
        <v>284</v>
      </c>
    </row>
    <row r="4" spans="1:14" ht="36.75">
      <c r="A4" s="595" t="s">
        <v>283</v>
      </c>
      <c r="B4" s="596"/>
      <c r="C4" s="596"/>
      <c r="D4" s="596"/>
      <c r="E4" s="596"/>
      <c r="F4" s="596"/>
      <c r="G4" s="596"/>
      <c r="H4" s="596"/>
      <c r="I4" s="596"/>
      <c r="J4" s="596"/>
      <c r="K4" s="596"/>
      <c r="L4" s="596"/>
      <c r="M4" s="596"/>
      <c r="N4" s="596"/>
    </row>
    <row r="5" spans="1:14" ht="59.25" customHeight="1"/>
    <row r="6" spans="1:14" ht="59.25" customHeight="1"/>
    <row r="7" spans="1:14" ht="36.75">
      <c r="C7" s="597" t="s">
        <v>120</v>
      </c>
      <c r="D7" s="597"/>
      <c r="E7" s="597"/>
      <c r="F7" s="597"/>
      <c r="G7" s="597"/>
      <c r="H7" s="597"/>
      <c r="I7" s="597"/>
      <c r="J7" s="597"/>
      <c r="K7" s="597"/>
      <c r="L7" s="597"/>
    </row>
    <row r="8" spans="1:14" ht="51.75" customHeight="1"/>
    <row r="9" spans="1:14" ht="51.75" customHeight="1"/>
    <row r="10" spans="1:14" s="67" customFormat="1" ht="32.25">
      <c r="C10" s="332"/>
      <c r="D10" s="332"/>
      <c r="E10" s="598" t="s">
        <v>121</v>
      </c>
      <c r="F10" s="598"/>
      <c r="G10" s="598"/>
      <c r="H10" s="67">
        <v>109</v>
      </c>
      <c r="I10" s="67" t="s">
        <v>122</v>
      </c>
      <c r="K10" s="73" t="s">
        <v>123</v>
      </c>
      <c r="M10" s="67" t="s">
        <v>296</v>
      </c>
    </row>
    <row r="11" spans="1:14">
      <c r="M11" s="62"/>
    </row>
    <row r="15" spans="1:14" s="64" customFormat="1" ht="34.5" customHeight="1">
      <c r="B15" s="599" t="s">
        <v>124</v>
      </c>
      <c r="C15" s="599"/>
      <c r="D15" s="599"/>
      <c r="E15" s="599"/>
      <c r="F15" s="599"/>
      <c r="H15" s="331"/>
      <c r="I15" s="331" t="s">
        <v>125</v>
      </c>
      <c r="J15" s="331"/>
      <c r="K15" s="331"/>
      <c r="L15" s="331"/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X244"/>
  <sheetViews>
    <sheetView showGridLines="0" showZeros="0" showOutlineSymbols="0" view="pageBreakPreview" zoomScaleSheetLayoutView="100" workbookViewId="0">
      <pane ySplit="11" topLeftCell="A54" activePane="bottomLeft" state="frozen"/>
      <selection activeCell="A21" sqref="A21:XFD21"/>
      <selection pane="bottomLeft" activeCell="Q44" sqref="Q44"/>
    </sheetView>
  </sheetViews>
  <sheetFormatPr defaultColWidth="6.85546875" defaultRowHeight="12.75" customHeight="1"/>
  <cols>
    <col min="1" max="1" width="1" style="85" customWidth="1"/>
    <col min="2" max="3" width="1.85546875" style="85" customWidth="1"/>
    <col min="4" max="4" width="2.85546875" style="85" customWidth="1"/>
    <col min="5" max="6" width="1" style="85" customWidth="1"/>
    <col min="7" max="7" width="1.85546875" style="85" customWidth="1"/>
    <col min="8" max="8" width="1" style="85" customWidth="1"/>
    <col min="9" max="9" width="13.5703125" style="85" customWidth="1"/>
    <col min="10" max="10" width="24" style="85" customWidth="1"/>
    <col min="11" max="11" width="1.85546875" style="85" customWidth="1"/>
    <col min="12" max="12" width="2" style="85" customWidth="1"/>
    <col min="13" max="13" width="3.140625" style="85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11"/>
      <c r="U1" s="711"/>
      <c r="V1" s="711"/>
      <c r="W1" s="711"/>
    </row>
    <row r="2" spans="1:24" ht="24.75" customHeight="1">
      <c r="A2" s="634" t="str">
        <f>封面!$A$4</f>
        <v>彰化縣地方教育發展基金－彰化縣秀水鄉馬興國民小學</v>
      </c>
      <c r="B2" s="607"/>
      <c r="C2" s="607"/>
      <c r="D2" s="607"/>
      <c r="E2" s="607"/>
      <c r="F2" s="607"/>
      <c r="G2" s="607"/>
      <c r="H2" s="607"/>
      <c r="I2" s="607"/>
      <c r="J2" s="607"/>
      <c r="K2" s="607"/>
      <c r="L2" s="607"/>
      <c r="M2" s="607"/>
      <c r="N2" s="607"/>
      <c r="O2" s="607"/>
      <c r="P2" s="607"/>
      <c r="Q2" s="607"/>
      <c r="R2" s="607"/>
      <c r="S2" s="607"/>
      <c r="T2" s="607"/>
      <c r="U2" s="607"/>
      <c r="V2" s="607"/>
      <c r="W2" s="607"/>
    </row>
    <row r="3" spans="1:24" ht="20.25" customHeight="1">
      <c r="A3" s="688" t="s">
        <v>69</v>
      </c>
      <c r="B3" s="688"/>
      <c r="C3" s="688"/>
      <c r="D3" s="688"/>
      <c r="E3" s="688"/>
      <c r="F3" s="688"/>
      <c r="G3" s="688"/>
      <c r="H3" s="688"/>
      <c r="I3" s="688"/>
      <c r="J3" s="688"/>
      <c r="K3" s="688"/>
      <c r="L3" s="688"/>
      <c r="M3" s="688"/>
      <c r="N3" s="688"/>
      <c r="O3" s="688"/>
      <c r="P3" s="688"/>
      <c r="Q3" s="688"/>
      <c r="R3" s="688"/>
      <c r="S3" s="688"/>
      <c r="T3" s="688"/>
      <c r="U3" s="688"/>
      <c r="V3" s="688"/>
      <c r="W3" s="688"/>
    </row>
    <row r="4" spans="1:24" ht="20.25" customHeight="1">
      <c r="A4" s="632" t="str">
        <f>封面!$E$10&amp;封面!$H$10&amp;封面!$I$10&amp;封面!$J$10&amp;封面!$K$10&amp;封面!L10</f>
        <v>中華民國111年12月份</v>
      </c>
      <c r="B4" s="632"/>
      <c r="C4" s="632"/>
      <c r="D4" s="632"/>
      <c r="E4" s="632"/>
      <c r="F4" s="632"/>
      <c r="G4" s="632"/>
      <c r="H4" s="632"/>
      <c r="I4" s="632"/>
      <c r="J4" s="632"/>
      <c r="K4" s="632"/>
      <c r="L4" s="632"/>
      <c r="M4" s="632"/>
      <c r="N4" s="632"/>
      <c r="O4" s="632"/>
      <c r="P4" s="632"/>
      <c r="Q4" s="632"/>
      <c r="R4" s="632"/>
      <c r="S4" s="632"/>
      <c r="T4" s="632"/>
      <c r="U4" s="632"/>
      <c r="V4" s="632"/>
      <c r="W4" s="632"/>
    </row>
    <row r="5" spans="1:24" ht="16.5">
      <c r="S5" s="713" t="s">
        <v>1</v>
      </c>
      <c r="T5" s="607"/>
      <c r="U5" s="607"/>
      <c r="V5" s="607"/>
      <c r="W5" s="607"/>
    </row>
    <row r="6" spans="1:24" ht="14.25" hidden="1"/>
    <row r="7" spans="1:24" ht="8.1" customHeight="1">
      <c r="A7" s="693" t="s">
        <v>6</v>
      </c>
      <c r="B7" s="712"/>
      <c r="C7" s="712"/>
      <c r="D7" s="712"/>
      <c r="E7" s="712"/>
      <c r="F7" s="712"/>
      <c r="G7" s="712"/>
      <c r="H7" s="712"/>
      <c r="I7" s="712"/>
      <c r="J7" s="712"/>
      <c r="K7" s="712"/>
      <c r="L7" s="712"/>
      <c r="M7" s="712"/>
      <c r="N7" s="693" t="s">
        <v>71</v>
      </c>
      <c r="O7" s="710"/>
      <c r="P7" s="693" t="s">
        <v>72</v>
      </c>
      <c r="Q7" s="710"/>
      <c r="R7" s="693" t="s">
        <v>70</v>
      </c>
      <c r="S7" s="710"/>
      <c r="T7" s="710"/>
      <c r="U7" s="710"/>
      <c r="V7" s="710"/>
      <c r="W7" s="710"/>
      <c r="X7" s="6"/>
    </row>
    <row r="8" spans="1:24" ht="8.1" customHeight="1">
      <c r="A8" s="712"/>
      <c r="B8" s="712"/>
      <c r="C8" s="712"/>
      <c r="D8" s="712"/>
      <c r="E8" s="712"/>
      <c r="F8" s="712"/>
      <c r="G8" s="712"/>
      <c r="H8" s="712"/>
      <c r="I8" s="712"/>
      <c r="J8" s="712"/>
      <c r="K8" s="712"/>
      <c r="L8" s="712"/>
      <c r="M8" s="712"/>
      <c r="N8" s="710"/>
      <c r="O8" s="710"/>
      <c r="P8" s="710"/>
      <c r="Q8" s="710"/>
      <c r="R8" s="710"/>
      <c r="S8" s="710"/>
      <c r="T8" s="710"/>
      <c r="U8" s="710"/>
      <c r="V8" s="710"/>
      <c r="W8" s="710"/>
      <c r="X8" s="6"/>
    </row>
    <row r="9" spans="1:24" ht="8.1" customHeight="1">
      <c r="A9" s="712"/>
      <c r="B9" s="712"/>
      <c r="C9" s="712"/>
      <c r="D9" s="712"/>
      <c r="E9" s="712"/>
      <c r="F9" s="712"/>
      <c r="G9" s="712"/>
      <c r="H9" s="712"/>
      <c r="I9" s="712"/>
      <c r="J9" s="712"/>
      <c r="K9" s="712"/>
      <c r="L9" s="712"/>
      <c r="M9" s="712"/>
      <c r="N9" s="710"/>
      <c r="O9" s="710"/>
      <c r="P9" s="710"/>
      <c r="Q9" s="710"/>
      <c r="R9" s="693" t="s">
        <v>4</v>
      </c>
      <c r="S9" s="710"/>
      <c r="T9" s="710"/>
      <c r="U9" s="710"/>
      <c r="V9" s="83"/>
      <c r="W9" s="714" t="s">
        <v>154</v>
      </c>
      <c r="X9" s="6"/>
    </row>
    <row r="10" spans="1:24" ht="8.1" customHeight="1">
      <c r="A10" s="712"/>
      <c r="B10" s="712"/>
      <c r="C10" s="712"/>
      <c r="D10" s="712"/>
      <c r="E10" s="712"/>
      <c r="F10" s="712"/>
      <c r="G10" s="712"/>
      <c r="H10" s="712"/>
      <c r="I10" s="712"/>
      <c r="J10" s="712"/>
      <c r="K10" s="712"/>
      <c r="L10" s="712"/>
      <c r="M10" s="712"/>
      <c r="N10" s="710"/>
      <c r="O10" s="710"/>
      <c r="P10" s="710"/>
      <c r="Q10" s="710"/>
      <c r="R10" s="710"/>
      <c r="S10" s="710"/>
      <c r="T10" s="710"/>
      <c r="U10" s="710"/>
      <c r="V10" s="84"/>
      <c r="W10" s="697"/>
      <c r="X10" s="6"/>
    </row>
    <row r="11" spans="1:24" hidden="1">
      <c r="A11" s="712"/>
      <c r="B11" s="712"/>
      <c r="C11" s="712"/>
      <c r="D11" s="712"/>
      <c r="E11" s="712"/>
      <c r="F11" s="712"/>
      <c r="G11" s="712"/>
      <c r="H11" s="712"/>
      <c r="I11" s="712"/>
      <c r="J11" s="712"/>
      <c r="K11" s="712"/>
      <c r="L11" s="712"/>
      <c r="M11" s="712"/>
      <c r="N11" s="710"/>
      <c r="O11" s="710"/>
      <c r="P11" s="710"/>
      <c r="Q11" s="710"/>
      <c r="R11" s="710"/>
      <c r="S11" s="710"/>
      <c r="T11" s="710"/>
      <c r="U11" s="710"/>
      <c r="V11" s="84"/>
      <c r="W11" s="84"/>
      <c r="X11" s="6"/>
    </row>
    <row r="12" spans="1:24" ht="15.75" customHeight="1">
      <c r="A12" s="258"/>
      <c r="B12" s="90" t="s">
        <v>466</v>
      </c>
      <c r="C12" s="90"/>
      <c r="D12" s="90"/>
      <c r="E12" s="90"/>
      <c r="F12" s="90" t="s">
        <v>531</v>
      </c>
      <c r="G12" s="90"/>
      <c r="H12" s="90"/>
      <c r="I12" s="90"/>
      <c r="J12" s="90"/>
      <c r="K12" s="90"/>
      <c r="L12" s="90"/>
      <c r="M12" s="259"/>
      <c r="N12" s="264"/>
      <c r="O12" s="265">
        <v>35183000</v>
      </c>
      <c r="P12" s="266"/>
      <c r="Q12" s="265">
        <v>34075176</v>
      </c>
      <c r="R12" s="266"/>
      <c r="S12" s="265">
        <v>-1107824</v>
      </c>
      <c r="T12" s="265"/>
      <c r="U12" s="265"/>
      <c r="V12" s="266"/>
      <c r="W12" s="265" t="s">
        <v>532</v>
      </c>
      <c r="X12" s="6"/>
    </row>
    <row r="13" spans="1:24" ht="15.75" customHeight="1">
      <c r="A13" s="260"/>
      <c r="B13" s="91"/>
      <c r="C13" s="377" t="s">
        <v>468</v>
      </c>
      <c r="D13" s="377"/>
      <c r="E13" s="377"/>
      <c r="F13" s="91"/>
      <c r="G13" s="91" t="s">
        <v>533</v>
      </c>
      <c r="H13" s="91"/>
      <c r="I13" s="91"/>
      <c r="J13" s="91"/>
      <c r="K13" s="91"/>
      <c r="L13" s="91"/>
      <c r="M13" s="261"/>
      <c r="N13" s="267"/>
      <c r="O13" s="268"/>
      <c r="P13" s="268"/>
      <c r="Q13" s="269">
        <v>22311342</v>
      </c>
      <c r="R13" s="268"/>
      <c r="S13" s="269">
        <v>22311342</v>
      </c>
      <c r="T13" s="269"/>
      <c r="U13" s="269"/>
      <c r="V13" s="268"/>
      <c r="W13" s="268"/>
      <c r="X13" s="6"/>
    </row>
    <row r="14" spans="1:24" ht="15.75" customHeight="1">
      <c r="A14" s="260"/>
      <c r="B14" s="91"/>
      <c r="C14" s="377"/>
      <c r="D14" s="377" t="s">
        <v>534</v>
      </c>
      <c r="E14" s="377"/>
      <c r="F14" s="91"/>
      <c r="G14" s="91"/>
      <c r="H14" s="91"/>
      <c r="I14" s="91" t="s">
        <v>535</v>
      </c>
      <c r="J14" s="91"/>
      <c r="K14" s="91"/>
      <c r="L14" s="91"/>
      <c r="M14" s="261"/>
      <c r="N14" s="267"/>
      <c r="O14" s="268"/>
      <c r="P14" s="268"/>
      <c r="Q14" s="269">
        <v>21913062</v>
      </c>
      <c r="R14" s="268"/>
      <c r="S14" s="269">
        <v>21913062</v>
      </c>
      <c r="T14" s="269"/>
      <c r="U14" s="269"/>
      <c r="V14" s="268"/>
      <c r="W14" s="268"/>
      <c r="X14" s="6"/>
    </row>
    <row r="15" spans="1:24" ht="15.75" customHeight="1">
      <c r="A15" s="260"/>
      <c r="B15" s="91"/>
      <c r="C15" s="377"/>
      <c r="D15" s="377" t="s">
        <v>536</v>
      </c>
      <c r="E15" s="377"/>
      <c r="F15" s="91"/>
      <c r="G15" s="91"/>
      <c r="H15" s="91"/>
      <c r="I15" s="91" t="s">
        <v>537</v>
      </c>
      <c r="J15" s="91"/>
      <c r="K15" s="91"/>
      <c r="L15" s="91"/>
      <c r="M15" s="261"/>
      <c r="N15" s="267"/>
      <c r="O15" s="268"/>
      <c r="P15" s="268"/>
      <c r="Q15" s="269">
        <v>398280</v>
      </c>
      <c r="R15" s="268"/>
      <c r="S15" s="269">
        <v>398280</v>
      </c>
      <c r="T15" s="269"/>
      <c r="U15" s="269"/>
      <c r="V15" s="268"/>
      <c r="W15" s="268"/>
      <c r="X15" s="6"/>
    </row>
    <row r="16" spans="1:24" ht="15.75" customHeight="1">
      <c r="A16" s="260"/>
      <c r="B16" s="91"/>
      <c r="C16" s="377" t="s">
        <v>538</v>
      </c>
      <c r="D16" s="377"/>
      <c r="E16" s="377"/>
      <c r="F16" s="91"/>
      <c r="G16" s="91" t="s">
        <v>539</v>
      </c>
      <c r="H16" s="91"/>
      <c r="I16" s="91"/>
      <c r="J16" s="91"/>
      <c r="K16" s="91"/>
      <c r="L16" s="91"/>
      <c r="M16" s="261"/>
      <c r="N16" s="267"/>
      <c r="O16" s="268"/>
      <c r="P16" s="268"/>
      <c r="Q16" s="269">
        <v>495328</v>
      </c>
      <c r="R16" s="268"/>
      <c r="S16" s="269">
        <v>495328</v>
      </c>
      <c r="T16" s="269"/>
      <c r="U16" s="269"/>
      <c r="V16" s="268"/>
      <c r="W16" s="268"/>
      <c r="X16" s="6"/>
    </row>
    <row r="17" spans="1:24" ht="15.75" customHeight="1">
      <c r="A17" s="260"/>
      <c r="B17" s="91"/>
      <c r="C17" s="377"/>
      <c r="D17" s="377" t="s">
        <v>540</v>
      </c>
      <c r="E17" s="377"/>
      <c r="F17" s="91"/>
      <c r="G17" s="91"/>
      <c r="H17" s="91"/>
      <c r="I17" s="91" t="s">
        <v>541</v>
      </c>
      <c r="J17" s="91"/>
      <c r="K17" s="91"/>
      <c r="L17" s="91"/>
      <c r="M17" s="261"/>
      <c r="N17" s="267"/>
      <c r="O17" s="268"/>
      <c r="P17" s="268"/>
      <c r="Q17" s="269">
        <v>495328</v>
      </c>
      <c r="R17" s="268"/>
      <c r="S17" s="269">
        <v>495328</v>
      </c>
      <c r="T17" s="269"/>
      <c r="U17" s="269"/>
      <c r="V17" s="268"/>
      <c r="W17" s="268"/>
      <c r="X17" s="6"/>
    </row>
    <row r="18" spans="1:24" ht="15.75" customHeight="1">
      <c r="A18" s="260"/>
      <c r="B18" s="91"/>
      <c r="C18" s="377" t="s">
        <v>542</v>
      </c>
      <c r="D18" s="377"/>
      <c r="E18" s="377"/>
      <c r="F18" s="91"/>
      <c r="G18" s="91" t="s">
        <v>543</v>
      </c>
      <c r="H18" s="91"/>
      <c r="I18" s="91"/>
      <c r="J18" s="91"/>
      <c r="K18" s="91"/>
      <c r="L18" s="91"/>
      <c r="M18" s="261"/>
      <c r="N18" s="267"/>
      <c r="O18" s="268"/>
      <c r="P18" s="268"/>
      <c r="Q18" s="269">
        <v>515994</v>
      </c>
      <c r="R18" s="268"/>
      <c r="S18" s="269">
        <v>515994</v>
      </c>
      <c r="T18" s="269"/>
      <c r="U18" s="269"/>
      <c r="V18" s="268"/>
      <c r="W18" s="268"/>
      <c r="X18" s="6"/>
    </row>
    <row r="19" spans="1:24" ht="15.75" customHeight="1">
      <c r="A19" s="260"/>
      <c r="B19" s="91"/>
      <c r="C19" s="377"/>
      <c r="D19" s="377" t="s">
        <v>544</v>
      </c>
      <c r="E19" s="377"/>
      <c r="F19" s="91"/>
      <c r="G19" s="91"/>
      <c r="H19" s="91"/>
      <c r="I19" s="91" t="s">
        <v>545</v>
      </c>
      <c r="J19" s="91"/>
      <c r="K19" s="91"/>
      <c r="L19" s="91"/>
      <c r="M19" s="261"/>
      <c r="N19" s="267"/>
      <c r="O19" s="268"/>
      <c r="P19" s="268"/>
      <c r="Q19" s="269">
        <v>515994</v>
      </c>
      <c r="R19" s="268"/>
      <c r="S19" s="269">
        <v>515994</v>
      </c>
      <c r="T19" s="269"/>
      <c r="U19" s="269"/>
      <c r="V19" s="268"/>
      <c r="W19" s="268"/>
      <c r="X19" s="6"/>
    </row>
    <row r="20" spans="1:24" ht="15.75" customHeight="1">
      <c r="A20" s="260"/>
      <c r="B20" s="91"/>
      <c r="C20" s="377" t="s">
        <v>546</v>
      </c>
      <c r="D20" s="377"/>
      <c r="E20" s="377"/>
      <c r="F20" s="91"/>
      <c r="G20" s="91" t="s">
        <v>547</v>
      </c>
      <c r="H20" s="91"/>
      <c r="I20" s="91"/>
      <c r="J20" s="91"/>
      <c r="K20" s="91"/>
      <c r="L20" s="91"/>
      <c r="M20" s="261"/>
      <c r="N20" s="267"/>
      <c r="O20" s="268"/>
      <c r="P20" s="268"/>
      <c r="Q20" s="269">
        <v>6076230</v>
      </c>
      <c r="R20" s="268"/>
      <c r="S20" s="269">
        <v>6076230</v>
      </c>
      <c r="T20" s="269"/>
      <c r="U20" s="269"/>
      <c r="V20" s="268"/>
      <c r="W20" s="268"/>
      <c r="X20" s="6"/>
    </row>
    <row r="21" spans="1:24" ht="15.75" customHeight="1">
      <c r="A21" s="260"/>
      <c r="B21" s="91"/>
      <c r="C21" s="377"/>
      <c r="D21" s="377" t="s">
        <v>548</v>
      </c>
      <c r="E21" s="377"/>
      <c r="F21" s="91"/>
      <c r="G21" s="91"/>
      <c r="H21" s="91"/>
      <c r="I21" s="91" t="s">
        <v>549</v>
      </c>
      <c r="J21" s="91"/>
      <c r="K21" s="91"/>
      <c r="L21" s="91"/>
      <c r="M21" s="261"/>
      <c r="N21" s="267"/>
      <c r="O21" s="268"/>
      <c r="P21" s="268"/>
      <c r="Q21" s="269">
        <v>3429675</v>
      </c>
      <c r="R21" s="268"/>
      <c r="S21" s="269">
        <v>3429675</v>
      </c>
      <c r="T21" s="269"/>
      <c r="U21" s="269"/>
      <c r="V21" s="268"/>
      <c r="W21" s="268"/>
      <c r="X21" s="6"/>
    </row>
    <row r="22" spans="1:24" ht="15.75" customHeight="1">
      <c r="A22" s="260"/>
      <c r="B22" s="91"/>
      <c r="C22" s="377"/>
      <c r="D22" s="377" t="s">
        <v>550</v>
      </c>
      <c r="E22" s="377"/>
      <c r="F22" s="91"/>
      <c r="G22" s="91"/>
      <c r="H22" s="91"/>
      <c r="I22" s="91" t="s">
        <v>551</v>
      </c>
      <c r="J22" s="91"/>
      <c r="K22" s="91"/>
      <c r="L22" s="91"/>
      <c r="M22" s="261"/>
      <c r="N22" s="267"/>
      <c r="O22" s="268"/>
      <c r="P22" s="268"/>
      <c r="Q22" s="269">
        <v>2646555</v>
      </c>
      <c r="R22" s="268"/>
      <c r="S22" s="269">
        <v>2646555</v>
      </c>
      <c r="T22" s="269"/>
      <c r="U22" s="269"/>
      <c r="V22" s="268"/>
      <c r="W22" s="268"/>
      <c r="X22" s="6"/>
    </row>
    <row r="23" spans="1:24" ht="15.75" customHeight="1">
      <c r="A23" s="260"/>
      <c r="B23" s="91"/>
      <c r="C23" s="91" t="s">
        <v>552</v>
      </c>
      <c r="D23" s="91"/>
      <c r="E23" s="91"/>
      <c r="F23" s="91"/>
      <c r="G23" s="91" t="s">
        <v>553</v>
      </c>
      <c r="H23" s="91"/>
      <c r="I23" s="91"/>
      <c r="J23" s="91"/>
      <c r="K23" s="91"/>
      <c r="L23" s="91"/>
      <c r="M23" s="261"/>
      <c r="N23" s="267"/>
      <c r="O23" s="268"/>
      <c r="P23" s="268"/>
      <c r="Q23" s="269">
        <v>2312672</v>
      </c>
      <c r="R23" s="268"/>
      <c r="S23" s="269">
        <v>2312672</v>
      </c>
      <c r="T23" s="269"/>
      <c r="U23" s="269"/>
      <c r="V23" s="268"/>
      <c r="W23" s="268"/>
      <c r="X23" s="6"/>
    </row>
    <row r="24" spans="1:24" ht="15.75" customHeight="1">
      <c r="A24" s="260"/>
      <c r="B24" s="91"/>
      <c r="C24" s="91"/>
      <c r="D24" s="91" t="s">
        <v>554</v>
      </c>
      <c r="E24" s="91"/>
      <c r="F24" s="91"/>
      <c r="G24" s="91"/>
      <c r="H24" s="91"/>
      <c r="I24" s="91" t="s">
        <v>555</v>
      </c>
      <c r="J24" s="91"/>
      <c r="K24" s="91"/>
      <c r="L24" s="91"/>
      <c r="M24" s="261"/>
      <c r="N24" s="267"/>
      <c r="O24" s="268"/>
      <c r="P24" s="268"/>
      <c r="Q24" s="269">
        <v>2312672</v>
      </c>
      <c r="R24" s="268"/>
      <c r="S24" s="269">
        <v>2312672</v>
      </c>
      <c r="T24" s="269"/>
      <c r="U24" s="269"/>
      <c r="V24" s="268"/>
      <c r="W24" s="268"/>
      <c r="X24" s="6"/>
    </row>
    <row r="25" spans="1:24" ht="15.75" customHeight="1">
      <c r="A25" s="260"/>
      <c r="B25" s="91"/>
      <c r="C25" s="91" t="s">
        <v>556</v>
      </c>
      <c r="D25" s="91"/>
      <c r="E25" s="91"/>
      <c r="F25" s="91"/>
      <c r="G25" s="91" t="s">
        <v>557</v>
      </c>
      <c r="H25" s="91"/>
      <c r="I25" s="91"/>
      <c r="J25" s="91"/>
      <c r="K25" s="91"/>
      <c r="L25" s="91"/>
      <c r="M25" s="261"/>
      <c r="N25" s="267"/>
      <c r="O25" s="268"/>
      <c r="P25" s="268"/>
      <c r="Q25" s="269">
        <v>2363610</v>
      </c>
      <c r="R25" s="268"/>
      <c r="S25" s="269">
        <v>2363610</v>
      </c>
      <c r="T25" s="269"/>
      <c r="U25" s="269"/>
      <c r="V25" s="268"/>
      <c r="W25" s="268"/>
      <c r="X25" s="6"/>
    </row>
    <row r="26" spans="1:24" ht="15.75" customHeight="1">
      <c r="A26" s="260"/>
      <c r="B26" s="91"/>
      <c r="C26" s="91"/>
      <c r="D26" s="91" t="s">
        <v>558</v>
      </c>
      <c r="E26" s="91"/>
      <c r="F26" s="91"/>
      <c r="G26" s="91"/>
      <c r="H26" s="91"/>
      <c r="I26" s="91" t="s">
        <v>559</v>
      </c>
      <c r="J26" s="91"/>
      <c r="K26" s="91"/>
      <c r="L26" s="91"/>
      <c r="M26" s="261"/>
      <c r="N26" s="267"/>
      <c r="O26" s="268"/>
      <c r="P26" s="268"/>
      <c r="Q26" s="269">
        <v>2201660</v>
      </c>
      <c r="R26" s="268"/>
      <c r="S26" s="269">
        <v>2201660</v>
      </c>
      <c r="T26" s="269"/>
      <c r="U26" s="269"/>
      <c r="V26" s="268"/>
      <c r="W26" s="268"/>
      <c r="X26" s="6"/>
    </row>
    <row r="27" spans="1:24" ht="15.75" customHeight="1">
      <c r="A27" s="260"/>
      <c r="B27" s="91"/>
      <c r="C27" s="91"/>
      <c r="D27" s="91" t="s">
        <v>560</v>
      </c>
      <c r="E27" s="91"/>
      <c r="F27" s="91"/>
      <c r="G27" s="91"/>
      <c r="H27" s="91"/>
      <c r="I27" s="91" t="s">
        <v>561</v>
      </c>
      <c r="J27" s="91"/>
      <c r="K27" s="91"/>
      <c r="L27" s="91"/>
      <c r="M27" s="261"/>
      <c r="N27" s="267"/>
      <c r="O27" s="268"/>
      <c r="P27" s="268"/>
      <c r="Q27" s="269">
        <v>161950</v>
      </c>
      <c r="R27" s="268"/>
      <c r="S27" s="269">
        <v>161950</v>
      </c>
      <c r="T27" s="269"/>
      <c r="U27" s="269"/>
      <c r="V27" s="268"/>
      <c r="W27" s="268"/>
      <c r="X27" s="6"/>
    </row>
    <row r="28" spans="1:24" ht="15.75" customHeight="1">
      <c r="A28" s="260"/>
      <c r="B28" s="91" t="s">
        <v>519</v>
      </c>
      <c r="C28" s="91"/>
      <c r="D28" s="91"/>
      <c r="E28" s="91"/>
      <c r="F28" s="91" t="s">
        <v>562</v>
      </c>
      <c r="G28" s="91"/>
      <c r="H28" s="91"/>
      <c r="I28" s="91"/>
      <c r="J28" s="91"/>
      <c r="K28" s="91"/>
      <c r="L28" s="91"/>
      <c r="M28" s="261"/>
      <c r="N28" s="267"/>
      <c r="O28" s="269">
        <v>1096000</v>
      </c>
      <c r="P28" s="268"/>
      <c r="Q28" s="269">
        <v>1052092</v>
      </c>
      <c r="R28" s="268"/>
      <c r="S28" s="269">
        <v>-43908</v>
      </c>
      <c r="T28" s="269"/>
      <c r="U28" s="269"/>
      <c r="V28" s="268"/>
      <c r="W28" s="269" t="s">
        <v>563</v>
      </c>
      <c r="X28" s="6"/>
    </row>
    <row r="29" spans="1:24" ht="15.75" customHeight="1">
      <c r="A29" s="260"/>
      <c r="B29" s="91"/>
      <c r="C29" s="91" t="s">
        <v>520</v>
      </c>
      <c r="D29" s="91"/>
      <c r="E29" s="91"/>
      <c r="F29" s="91"/>
      <c r="G29" s="91" t="s">
        <v>564</v>
      </c>
      <c r="H29" s="91"/>
      <c r="I29" s="91"/>
      <c r="J29" s="91"/>
      <c r="K29" s="91"/>
      <c r="L29" s="91"/>
      <c r="M29" s="261"/>
      <c r="N29" s="267"/>
      <c r="O29" s="268"/>
      <c r="P29" s="268"/>
      <c r="Q29" s="269">
        <v>300604</v>
      </c>
      <c r="R29" s="268"/>
      <c r="S29" s="269">
        <v>300604</v>
      </c>
      <c r="T29" s="269"/>
      <c r="U29" s="269"/>
      <c r="V29" s="268"/>
      <c r="W29" s="268"/>
      <c r="X29" s="6"/>
    </row>
    <row r="30" spans="1:24" ht="15.75" customHeight="1">
      <c r="A30" s="260"/>
      <c r="B30" s="91"/>
      <c r="C30" s="91"/>
      <c r="D30" s="91" t="s">
        <v>565</v>
      </c>
      <c r="E30" s="91"/>
      <c r="F30" s="91"/>
      <c r="G30" s="91"/>
      <c r="H30" s="91"/>
      <c r="I30" s="91" t="s">
        <v>566</v>
      </c>
      <c r="J30" s="91"/>
      <c r="K30" s="91"/>
      <c r="L30" s="91"/>
      <c r="M30" s="261"/>
      <c r="N30" s="267"/>
      <c r="O30" s="268"/>
      <c r="P30" s="268"/>
      <c r="Q30" s="269">
        <v>243432</v>
      </c>
      <c r="R30" s="268"/>
      <c r="S30" s="269">
        <v>243432</v>
      </c>
      <c r="T30" s="269"/>
      <c r="U30" s="269"/>
      <c r="V30" s="268"/>
      <c r="W30" s="268"/>
      <c r="X30" s="6"/>
    </row>
    <row r="31" spans="1:24" ht="15.75" customHeight="1">
      <c r="A31" s="260"/>
      <c r="B31" s="91"/>
      <c r="C31" s="91"/>
      <c r="D31" s="91" t="s">
        <v>567</v>
      </c>
      <c r="E31" s="91"/>
      <c r="F31" s="91"/>
      <c r="G31" s="91"/>
      <c r="H31" s="91"/>
      <c r="I31" s="91" t="s">
        <v>568</v>
      </c>
      <c r="J31" s="91"/>
      <c r="K31" s="91"/>
      <c r="L31" s="91"/>
      <c r="M31" s="261"/>
      <c r="N31" s="267"/>
      <c r="O31" s="268"/>
      <c r="P31" s="268"/>
      <c r="Q31" s="269">
        <v>57172</v>
      </c>
      <c r="R31" s="268"/>
      <c r="S31" s="269">
        <v>57172</v>
      </c>
      <c r="T31" s="269"/>
      <c r="U31" s="269"/>
      <c r="V31" s="268"/>
      <c r="W31" s="268"/>
      <c r="X31" s="6"/>
    </row>
    <row r="32" spans="1:24" ht="15.75" customHeight="1">
      <c r="A32" s="260"/>
      <c r="B32" s="91"/>
      <c r="C32" s="91" t="s">
        <v>569</v>
      </c>
      <c r="D32" s="91"/>
      <c r="E32" s="91"/>
      <c r="F32" s="91"/>
      <c r="G32" s="91" t="s">
        <v>570</v>
      </c>
      <c r="H32" s="91"/>
      <c r="I32" s="91"/>
      <c r="J32" s="91"/>
      <c r="K32" s="91"/>
      <c r="L32" s="91"/>
      <c r="M32" s="261"/>
      <c r="N32" s="267"/>
      <c r="O32" s="268"/>
      <c r="P32" s="268"/>
      <c r="Q32" s="269">
        <v>32567</v>
      </c>
      <c r="R32" s="268"/>
      <c r="S32" s="269">
        <v>32567</v>
      </c>
      <c r="T32" s="269"/>
      <c r="U32" s="269"/>
      <c r="V32" s="268"/>
      <c r="W32" s="268"/>
      <c r="X32" s="6"/>
    </row>
    <row r="33" spans="1:24" ht="15.75" customHeight="1">
      <c r="A33" s="260"/>
      <c r="B33" s="91"/>
      <c r="C33" s="91"/>
      <c r="D33" s="91" t="s">
        <v>571</v>
      </c>
      <c r="E33" s="91"/>
      <c r="F33" s="91"/>
      <c r="G33" s="91"/>
      <c r="H33" s="91"/>
      <c r="I33" s="91" t="s">
        <v>572</v>
      </c>
      <c r="J33" s="91"/>
      <c r="K33" s="91"/>
      <c r="L33" s="91"/>
      <c r="M33" s="261"/>
      <c r="N33" s="267"/>
      <c r="O33" s="268"/>
      <c r="P33" s="268"/>
      <c r="Q33" s="269">
        <v>7865</v>
      </c>
      <c r="R33" s="268"/>
      <c r="S33" s="269">
        <v>7865</v>
      </c>
      <c r="T33" s="269"/>
      <c r="U33" s="269"/>
      <c r="V33" s="268"/>
      <c r="W33" s="268"/>
      <c r="X33" s="6"/>
    </row>
    <row r="34" spans="1:24" ht="15.75" customHeight="1">
      <c r="A34" s="260"/>
      <c r="B34" s="91"/>
      <c r="C34" s="91"/>
      <c r="D34" s="91" t="s">
        <v>573</v>
      </c>
      <c r="E34" s="91"/>
      <c r="F34" s="91"/>
      <c r="G34" s="91"/>
      <c r="H34" s="91"/>
      <c r="I34" s="91" t="s">
        <v>574</v>
      </c>
      <c r="J34" s="91"/>
      <c r="K34" s="91"/>
      <c r="L34" s="91"/>
      <c r="M34" s="261"/>
      <c r="N34" s="267"/>
      <c r="O34" s="268"/>
      <c r="P34" s="268"/>
      <c r="Q34" s="269">
        <v>24702</v>
      </c>
      <c r="R34" s="268"/>
      <c r="S34" s="269">
        <v>24702</v>
      </c>
      <c r="T34" s="269"/>
      <c r="U34" s="269"/>
      <c r="V34" s="268"/>
      <c r="W34" s="268"/>
      <c r="X34" s="6"/>
    </row>
    <row r="35" spans="1:24" ht="15.75" customHeight="1">
      <c r="A35" s="260"/>
      <c r="B35" s="91"/>
      <c r="C35" s="91" t="s">
        <v>575</v>
      </c>
      <c r="D35" s="91"/>
      <c r="E35" s="91"/>
      <c r="F35" s="91"/>
      <c r="G35" s="91" t="s">
        <v>576</v>
      </c>
      <c r="H35" s="91"/>
      <c r="I35" s="91"/>
      <c r="J35" s="91"/>
      <c r="K35" s="91"/>
      <c r="L35" s="91"/>
      <c r="M35" s="261"/>
      <c r="N35" s="267"/>
      <c r="O35" s="268"/>
      <c r="P35" s="268"/>
      <c r="Q35" s="269">
        <v>4932</v>
      </c>
      <c r="R35" s="268"/>
      <c r="S35" s="269">
        <v>4932</v>
      </c>
      <c r="T35" s="269"/>
      <c r="U35" s="269"/>
      <c r="V35" s="268"/>
      <c r="W35" s="268"/>
      <c r="X35" s="6"/>
    </row>
    <row r="36" spans="1:24" ht="15.6" customHeight="1">
      <c r="A36" s="262"/>
      <c r="B36" s="92"/>
      <c r="C36" s="92"/>
      <c r="D36" s="92" t="s">
        <v>577</v>
      </c>
      <c r="E36" s="92"/>
      <c r="F36" s="92"/>
      <c r="G36" s="92"/>
      <c r="H36" s="92"/>
      <c r="I36" s="92" t="s">
        <v>578</v>
      </c>
      <c r="J36" s="92"/>
      <c r="K36" s="92"/>
      <c r="L36" s="92"/>
      <c r="M36" s="263"/>
      <c r="N36" s="270"/>
      <c r="O36" s="271"/>
      <c r="P36" s="271"/>
      <c r="Q36" s="272">
        <v>4932</v>
      </c>
      <c r="R36" s="271"/>
      <c r="S36" s="272">
        <v>4932</v>
      </c>
      <c r="T36" s="272"/>
      <c r="U36" s="272"/>
      <c r="V36" s="271"/>
      <c r="W36" s="271"/>
      <c r="X36" s="6"/>
    </row>
    <row r="37" spans="1:24" ht="15.75" customHeight="1">
      <c r="A37" s="258"/>
      <c r="B37" s="90"/>
      <c r="C37" s="90" t="s">
        <v>579</v>
      </c>
      <c r="D37" s="90"/>
      <c r="E37" s="90"/>
      <c r="F37" s="90"/>
      <c r="G37" s="90" t="s">
        <v>580</v>
      </c>
      <c r="H37" s="90"/>
      <c r="I37" s="90"/>
      <c r="J37" s="90"/>
      <c r="K37" s="90"/>
      <c r="L37" s="90"/>
      <c r="M37" s="259"/>
      <c r="N37" s="264"/>
      <c r="O37" s="266"/>
      <c r="P37" s="266"/>
      <c r="Q37" s="265">
        <v>39167</v>
      </c>
      <c r="R37" s="266"/>
      <c r="S37" s="265">
        <v>39167</v>
      </c>
      <c r="T37" s="265"/>
      <c r="U37" s="265"/>
      <c r="V37" s="266"/>
      <c r="W37" s="266"/>
      <c r="X37" s="6"/>
    </row>
    <row r="38" spans="1:24" ht="15.75" customHeight="1">
      <c r="A38" s="260"/>
      <c r="B38" s="91"/>
      <c r="C38" s="91"/>
      <c r="D38" s="91" t="s">
        <v>581</v>
      </c>
      <c r="E38" s="91"/>
      <c r="F38" s="91"/>
      <c r="G38" s="91"/>
      <c r="H38" s="91"/>
      <c r="I38" s="91" t="s">
        <v>582</v>
      </c>
      <c r="J38" s="91"/>
      <c r="K38" s="91"/>
      <c r="L38" s="91"/>
      <c r="M38" s="261"/>
      <c r="N38" s="267"/>
      <c r="O38" s="268"/>
      <c r="P38" s="268"/>
      <c r="Q38" s="269">
        <v>39167</v>
      </c>
      <c r="R38" s="268"/>
      <c r="S38" s="269">
        <v>39167</v>
      </c>
      <c r="T38" s="269"/>
      <c r="U38" s="269"/>
      <c r="V38" s="268"/>
      <c r="W38" s="268"/>
      <c r="X38" s="6"/>
    </row>
    <row r="39" spans="1:24" ht="15.75" customHeight="1">
      <c r="A39" s="260"/>
      <c r="B39" s="91"/>
      <c r="C39" s="91" t="s">
        <v>583</v>
      </c>
      <c r="D39" s="91"/>
      <c r="E39" s="91"/>
      <c r="F39" s="91"/>
      <c r="G39" s="91" t="s">
        <v>584</v>
      </c>
      <c r="H39" s="91"/>
      <c r="I39" s="91"/>
      <c r="J39" s="91"/>
      <c r="K39" s="91"/>
      <c r="L39" s="91"/>
      <c r="M39" s="261"/>
      <c r="N39" s="267"/>
      <c r="O39" s="268"/>
      <c r="P39" s="268"/>
      <c r="Q39" s="269">
        <v>152814</v>
      </c>
      <c r="R39" s="268"/>
      <c r="S39" s="269">
        <v>152814</v>
      </c>
      <c r="T39" s="269"/>
      <c r="U39" s="269"/>
      <c r="V39" s="268"/>
      <c r="W39" s="268"/>
      <c r="X39" s="6"/>
    </row>
    <row r="40" spans="1:24" ht="15.75" customHeight="1">
      <c r="A40" s="260"/>
      <c r="B40" s="91"/>
      <c r="C40" s="91"/>
      <c r="D40" s="91" t="s">
        <v>585</v>
      </c>
      <c r="E40" s="91"/>
      <c r="F40" s="91"/>
      <c r="G40" s="91"/>
      <c r="H40" s="91"/>
      <c r="I40" s="91" t="s">
        <v>586</v>
      </c>
      <c r="J40" s="91"/>
      <c r="K40" s="91"/>
      <c r="L40" s="91"/>
      <c r="M40" s="261"/>
      <c r="N40" s="267"/>
      <c r="O40" s="268"/>
      <c r="P40" s="268"/>
      <c r="Q40" s="269">
        <v>60870</v>
      </c>
      <c r="R40" s="268"/>
      <c r="S40" s="269">
        <v>60870</v>
      </c>
      <c r="T40" s="269"/>
      <c r="U40" s="269"/>
      <c r="V40" s="268"/>
      <c r="W40" s="268"/>
      <c r="X40" s="6"/>
    </row>
    <row r="41" spans="1:24" ht="15.75" customHeight="1">
      <c r="A41" s="260"/>
      <c r="B41" s="91"/>
      <c r="C41" s="91"/>
      <c r="D41" s="91" t="s">
        <v>587</v>
      </c>
      <c r="E41" s="91"/>
      <c r="F41" s="91"/>
      <c r="G41" s="91"/>
      <c r="H41" s="91"/>
      <c r="I41" s="91" t="s">
        <v>588</v>
      </c>
      <c r="J41" s="91"/>
      <c r="K41" s="91"/>
      <c r="L41" s="91"/>
      <c r="M41" s="261"/>
      <c r="N41" s="267"/>
      <c r="O41" s="268"/>
      <c r="P41" s="268"/>
      <c r="Q41" s="269">
        <v>20600</v>
      </c>
      <c r="R41" s="268"/>
      <c r="S41" s="269">
        <v>20600</v>
      </c>
      <c r="T41" s="269"/>
      <c r="U41" s="269"/>
      <c r="V41" s="268"/>
      <c r="W41" s="268"/>
      <c r="X41" s="6"/>
    </row>
    <row r="42" spans="1:24" ht="15.75" customHeight="1">
      <c r="A42" s="260"/>
      <c r="B42" s="91"/>
      <c r="C42" s="91"/>
      <c r="D42" s="91" t="s">
        <v>589</v>
      </c>
      <c r="E42" s="91"/>
      <c r="F42" s="91"/>
      <c r="G42" s="91"/>
      <c r="H42" s="91"/>
      <c r="I42" s="91" t="s">
        <v>590</v>
      </c>
      <c r="J42" s="91"/>
      <c r="K42" s="91"/>
      <c r="L42" s="91"/>
      <c r="M42" s="261"/>
      <c r="N42" s="267"/>
      <c r="O42" s="268"/>
      <c r="P42" s="268"/>
      <c r="Q42" s="269">
        <v>71344</v>
      </c>
      <c r="R42" s="268"/>
      <c r="S42" s="269">
        <v>71344</v>
      </c>
      <c r="T42" s="269"/>
      <c r="U42" s="269"/>
      <c r="V42" s="268"/>
      <c r="W42" s="268"/>
      <c r="X42" s="6"/>
    </row>
    <row r="43" spans="1:24" ht="15.75" customHeight="1">
      <c r="A43" s="260"/>
      <c r="B43" s="91"/>
      <c r="C43" s="91" t="s">
        <v>591</v>
      </c>
      <c r="D43" s="91"/>
      <c r="E43" s="91"/>
      <c r="F43" s="91"/>
      <c r="G43" s="91" t="s">
        <v>592</v>
      </c>
      <c r="H43" s="91"/>
      <c r="I43" s="91"/>
      <c r="J43" s="91"/>
      <c r="K43" s="91"/>
      <c r="L43" s="91"/>
      <c r="M43" s="261"/>
      <c r="N43" s="267"/>
      <c r="O43" s="268"/>
      <c r="P43" s="268"/>
      <c r="Q43" s="269">
        <v>395748</v>
      </c>
      <c r="R43" s="268"/>
      <c r="S43" s="269">
        <v>395748</v>
      </c>
      <c r="T43" s="269"/>
      <c r="U43" s="269"/>
      <c r="V43" s="268"/>
      <c r="W43" s="268"/>
      <c r="X43" s="6"/>
    </row>
    <row r="44" spans="1:24" ht="15.75" customHeight="1">
      <c r="A44" s="260"/>
      <c r="B44" s="91"/>
      <c r="C44" s="91"/>
      <c r="D44" s="91" t="s">
        <v>593</v>
      </c>
      <c r="E44" s="91"/>
      <c r="F44" s="91"/>
      <c r="G44" s="91"/>
      <c r="H44" s="91"/>
      <c r="I44" s="91" t="s">
        <v>594</v>
      </c>
      <c r="J44" s="91"/>
      <c r="K44" s="91"/>
      <c r="L44" s="91"/>
      <c r="M44" s="261"/>
      <c r="N44" s="267"/>
      <c r="O44" s="268"/>
      <c r="P44" s="268"/>
      <c r="Q44" s="269">
        <v>375748</v>
      </c>
      <c r="R44" s="268"/>
      <c r="S44" s="269">
        <v>375748</v>
      </c>
      <c r="T44" s="269"/>
      <c r="U44" s="269"/>
      <c r="V44" s="268"/>
      <c r="W44" s="268"/>
      <c r="X44" s="6"/>
    </row>
    <row r="45" spans="1:24" ht="15.75" customHeight="1">
      <c r="A45" s="260"/>
      <c r="B45" s="91"/>
      <c r="C45" s="91"/>
      <c r="D45" s="91" t="s">
        <v>595</v>
      </c>
      <c r="E45" s="91"/>
      <c r="F45" s="91"/>
      <c r="G45" s="91"/>
      <c r="H45" s="91"/>
      <c r="I45" s="91" t="s">
        <v>596</v>
      </c>
      <c r="J45" s="91"/>
      <c r="K45" s="91"/>
      <c r="L45" s="91"/>
      <c r="M45" s="261"/>
      <c r="N45" s="267"/>
      <c r="O45" s="268"/>
      <c r="P45" s="268"/>
      <c r="Q45" s="269">
        <v>20000</v>
      </c>
      <c r="R45" s="268"/>
      <c r="S45" s="269">
        <v>20000</v>
      </c>
      <c r="T45" s="269"/>
      <c r="U45" s="269"/>
      <c r="V45" s="268"/>
      <c r="W45" s="268"/>
      <c r="X45" s="6"/>
    </row>
    <row r="46" spans="1:24" ht="15.75" customHeight="1">
      <c r="A46" s="260"/>
      <c r="B46" s="91"/>
      <c r="C46" s="91" t="s">
        <v>524</v>
      </c>
      <c r="D46" s="91"/>
      <c r="E46" s="91"/>
      <c r="F46" s="91"/>
      <c r="G46" s="91" t="s">
        <v>597</v>
      </c>
      <c r="H46" s="91"/>
      <c r="I46" s="91"/>
      <c r="J46" s="91"/>
      <c r="K46" s="91"/>
      <c r="L46" s="91"/>
      <c r="M46" s="261"/>
      <c r="N46" s="267"/>
      <c r="O46" s="268"/>
      <c r="P46" s="268"/>
      <c r="Q46" s="269">
        <v>90260</v>
      </c>
      <c r="R46" s="268"/>
      <c r="S46" s="269">
        <v>90260</v>
      </c>
      <c r="T46" s="269"/>
      <c r="U46" s="269"/>
      <c r="V46" s="268"/>
      <c r="W46" s="268"/>
      <c r="X46" s="6"/>
    </row>
    <row r="47" spans="1:24" ht="15.75" customHeight="1">
      <c r="A47" s="260"/>
      <c r="B47" s="91"/>
      <c r="C47" s="91"/>
      <c r="D47" s="91" t="s">
        <v>598</v>
      </c>
      <c r="E47" s="91"/>
      <c r="F47" s="91"/>
      <c r="G47" s="91"/>
      <c r="H47" s="91"/>
      <c r="I47" s="91" t="s">
        <v>599</v>
      </c>
      <c r="J47" s="91"/>
      <c r="K47" s="91"/>
      <c r="L47" s="91"/>
      <c r="M47" s="261"/>
      <c r="N47" s="267"/>
      <c r="O47" s="268"/>
      <c r="P47" s="268"/>
      <c r="Q47" s="269">
        <v>19460</v>
      </c>
      <c r="R47" s="268"/>
      <c r="S47" s="269">
        <v>19460</v>
      </c>
      <c r="T47" s="269"/>
      <c r="U47" s="269"/>
      <c r="V47" s="268"/>
      <c r="W47" s="268"/>
      <c r="X47" s="6"/>
    </row>
    <row r="48" spans="1:24" ht="15.75" customHeight="1">
      <c r="A48" s="260"/>
      <c r="B48" s="91"/>
      <c r="C48" s="91"/>
      <c r="D48" s="91" t="s">
        <v>600</v>
      </c>
      <c r="E48" s="91"/>
      <c r="F48" s="91"/>
      <c r="G48" s="91"/>
      <c r="H48" s="91"/>
      <c r="I48" s="91" t="s">
        <v>601</v>
      </c>
      <c r="J48" s="91"/>
      <c r="K48" s="91"/>
      <c r="L48" s="91"/>
      <c r="M48" s="261"/>
      <c r="N48" s="267"/>
      <c r="O48" s="268"/>
      <c r="P48" s="268"/>
      <c r="Q48" s="269">
        <v>4800</v>
      </c>
      <c r="R48" s="268"/>
      <c r="S48" s="269">
        <v>4800</v>
      </c>
      <c r="T48" s="269"/>
      <c r="U48" s="269"/>
      <c r="V48" s="268"/>
      <c r="W48" s="268"/>
      <c r="X48" s="6"/>
    </row>
    <row r="49" spans="1:24" ht="15.75" customHeight="1">
      <c r="A49" s="260"/>
      <c r="B49" s="91"/>
      <c r="C49" s="91"/>
      <c r="D49" s="91" t="s">
        <v>602</v>
      </c>
      <c r="E49" s="91"/>
      <c r="F49" s="91"/>
      <c r="G49" s="91"/>
      <c r="H49" s="91"/>
      <c r="I49" s="91" t="s">
        <v>603</v>
      </c>
      <c r="J49" s="91"/>
      <c r="K49" s="91"/>
      <c r="L49" s="91"/>
      <c r="M49" s="261"/>
      <c r="N49" s="267"/>
      <c r="O49" s="268"/>
      <c r="P49" s="268"/>
      <c r="Q49" s="269">
        <v>66000</v>
      </c>
      <c r="R49" s="268"/>
      <c r="S49" s="269">
        <v>66000</v>
      </c>
      <c r="T49" s="269"/>
      <c r="U49" s="269"/>
      <c r="V49" s="268"/>
      <c r="W49" s="268"/>
      <c r="X49" s="6"/>
    </row>
    <row r="50" spans="1:24" ht="15.75" customHeight="1">
      <c r="A50" s="260"/>
      <c r="B50" s="91"/>
      <c r="C50" s="91" t="s">
        <v>604</v>
      </c>
      <c r="D50" s="91"/>
      <c r="E50" s="91"/>
      <c r="F50" s="91"/>
      <c r="G50" s="91" t="s">
        <v>605</v>
      </c>
      <c r="H50" s="91"/>
      <c r="I50" s="91"/>
      <c r="J50" s="91"/>
      <c r="K50" s="91"/>
      <c r="L50" s="91"/>
      <c r="M50" s="261"/>
      <c r="N50" s="267"/>
      <c r="O50" s="268"/>
      <c r="P50" s="268"/>
      <c r="Q50" s="269">
        <v>36000</v>
      </c>
      <c r="R50" s="268"/>
      <c r="S50" s="269">
        <v>36000</v>
      </c>
      <c r="T50" s="269"/>
      <c r="U50" s="269"/>
      <c r="V50" s="268"/>
      <c r="W50" s="268"/>
      <c r="X50" s="6"/>
    </row>
    <row r="51" spans="1:24" ht="15.75" customHeight="1">
      <c r="A51" s="260"/>
      <c r="B51" s="91"/>
      <c r="C51" s="91"/>
      <c r="D51" s="91" t="s">
        <v>606</v>
      </c>
      <c r="E51" s="91"/>
      <c r="F51" s="91"/>
      <c r="G51" s="91"/>
      <c r="H51" s="91"/>
      <c r="I51" s="91" t="s">
        <v>605</v>
      </c>
      <c r="J51" s="91"/>
      <c r="K51" s="91"/>
      <c r="L51" s="91"/>
      <c r="M51" s="261"/>
      <c r="N51" s="267"/>
      <c r="O51" s="268"/>
      <c r="P51" s="268"/>
      <c r="Q51" s="269">
        <v>36000</v>
      </c>
      <c r="R51" s="268"/>
      <c r="S51" s="269">
        <v>36000</v>
      </c>
      <c r="T51" s="269"/>
      <c r="U51" s="269"/>
      <c r="V51" s="268"/>
      <c r="W51" s="268"/>
      <c r="X51" s="6"/>
    </row>
    <row r="52" spans="1:24" ht="15.75" customHeight="1">
      <c r="A52" s="260"/>
      <c r="B52" s="91" t="s">
        <v>527</v>
      </c>
      <c r="C52" s="91"/>
      <c r="D52" s="91"/>
      <c r="E52" s="91"/>
      <c r="F52" s="91" t="s">
        <v>607</v>
      </c>
      <c r="G52" s="91"/>
      <c r="H52" s="91"/>
      <c r="I52" s="91"/>
      <c r="J52" s="91"/>
      <c r="K52" s="91"/>
      <c r="L52" s="91"/>
      <c r="M52" s="261"/>
      <c r="N52" s="267"/>
      <c r="O52" s="268">
        <v>287000</v>
      </c>
      <c r="P52" s="268"/>
      <c r="Q52" s="269">
        <v>125709</v>
      </c>
      <c r="R52" s="268"/>
      <c r="S52" s="269">
        <v>-161291</v>
      </c>
      <c r="T52" s="269"/>
      <c r="U52" s="269"/>
      <c r="V52" s="268"/>
      <c r="W52" s="268" t="s">
        <v>608</v>
      </c>
      <c r="X52" s="6"/>
    </row>
    <row r="53" spans="1:24" ht="15.75" customHeight="1">
      <c r="A53" s="260"/>
      <c r="B53" s="91"/>
      <c r="C53" s="91" t="s">
        <v>609</v>
      </c>
      <c r="D53" s="91"/>
      <c r="E53" s="91"/>
      <c r="F53" s="91"/>
      <c r="G53" s="91" t="s">
        <v>610</v>
      </c>
      <c r="H53" s="91"/>
      <c r="I53" s="91"/>
      <c r="J53" s="91"/>
      <c r="K53" s="91"/>
      <c r="L53" s="91"/>
      <c r="M53" s="261"/>
      <c r="N53" s="267"/>
      <c r="O53" s="269"/>
      <c r="P53" s="268"/>
      <c r="Q53" s="269">
        <v>125709</v>
      </c>
      <c r="R53" s="268"/>
      <c r="S53" s="269">
        <v>125709</v>
      </c>
      <c r="T53" s="269"/>
      <c r="U53" s="269"/>
      <c r="V53" s="268"/>
      <c r="W53" s="269"/>
      <c r="X53" s="6"/>
    </row>
    <row r="54" spans="1:24" ht="15.75" customHeight="1">
      <c r="A54" s="260"/>
      <c r="B54" s="91"/>
      <c r="C54" s="91"/>
      <c r="D54" s="91" t="s">
        <v>611</v>
      </c>
      <c r="E54" s="91"/>
      <c r="F54" s="91"/>
      <c r="G54" s="91"/>
      <c r="H54" s="91"/>
      <c r="I54" s="91" t="s">
        <v>612</v>
      </c>
      <c r="J54" s="91"/>
      <c r="K54" s="91"/>
      <c r="L54" s="91"/>
      <c r="M54" s="261"/>
      <c r="N54" s="267"/>
      <c r="O54" s="268"/>
      <c r="P54" s="268"/>
      <c r="Q54" s="269">
        <v>26231</v>
      </c>
      <c r="R54" s="268"/>
      <c r="S54" s="269">
        <v>26231</v>
      </c>
      <c r="T54" s="269"/>
      <c r="U54" s="269"/>
      <c r="V54" s="268"/>
      <c r="W54" s="268"/>
      <c r="X54" s="6"/>
    </row>
    <row r="55" spans="1:24" ht="15.75" customHeight="1">
      <c r="A55" s="260"/>
      <c r="B55" s="91"/>
      <c r="C55" s="91"/>
      <c r="D55" s="91" t="s">
        <v>613</v>
      </c>
      <c r="E55" s="91"/>
      <c r="F55" s="91"/>
      <c r="G55" s="91"/>
      <c r="H55" s="91"/>
      <c r="I55" s="91" t="s">
        <v>614</v>
      </c>
      <c r="J55" s="91"/>
      <c r="K55" s="91"/>
      <c r="L55" s="91"/>
      <c r="M55" s="261"/>
      <c r="N55" s="267"/>
      <c r="O55" s="268"/>
      <c r="P55" s="268"/>
      <c r="Q55" s="269">
        <v>41389</v>
      </c>
      <c r="R55" s="268"/>
      <c r="S55" s="269">
        <v>41389</v>
      </c>
      <c r="T55" s="269"/>
      <c r="U55" s="269"/>
      <c r="V55" s="268"/>
      <c r="W55" s="268"/>
      <c r="X55" s="6"/>
    </row>
    <row r="56" spans="1:24" ht="15.75" customHeight="1">
      <c r="A56" s="260"/>
      <c r="B56" s="91"/>
      <c r="C56" s="91"/>
      <c r="D56" s="91" t="s">
        <v>615</v>
      </c>
      <c r="E56" s="91"/>
      <c r="F56" s="91"/>
      <c r="G56" s="91"/>
      <c r="H56" s="91"/>
      <c r="I56" s="91" t="s">
        <v>616</v>
      </c>
      <c r="J56" s="91"/>
      <c r="K56" s="91"/>
      <c r="L56" s="91"/>
      <c r="M56" s="261"/>
      <c r="N56" s="267"/>
      <c r="O56" s="268"/>
      <c r="P56" s="268"/>
      <c r="Q56" s="269">
        <v>17005</v>
      </c>
      <c r="R56" s="268"/>
      <c r="S56" s="269">
        <v>17005</v>
      </c>
      <c r="T56" s="269"/>
      <c r="U56" s="269"/>
      <c r="V56" s="268"/>
      <c r="W56" s="268"/>
      <c r="X56" s="6"/>
    </row>
    <row r="57" spans="1:24" ht="15.75" customHeight="1">
      <c r="A57" s="260"/>
      <c r="B57" s="91"/>
      <c r="C57" s="91"/>
      <c r="D57" s="91" t="s">
        <v>617</v>
      </c>
      <c r="E57" s="91"/>
      <c r="F57" s="91"/>
      <c r="G57" s="91"/>
      <c r="H57" s="91"/>
      <c r="I57" s="91" t="s">
        <v>618</v>
      </c>
      <c r="J57" s="91"/>
      <c r="K57" s="91"/>
      <c r="L57" s="91"/>
      <c r="M57" s="261"/>
      <c r="N57" s="267"/>
      <c r="O57" s="268"/>
      <c r="P57" s="268"/>
      <c r="Q57" s="269">
        <v>41084</v>
      </c>
      <c r="R57" s="268"/>
      <c r="S57" s="269">
        <v>41084</v>
      </c>
      <c r="T57" s="269"/>
      <c r="U57" s="269"/>
      <c r="V57" s="268"/>
      <c r="W57" s="268"/>
      <c r="X57" s="6"/>
    </row>
    <row r="58" spans="1:24" ht="15.75" customHeight="1">
      <c r="A58" s="260"/>
      <c r="B58" s="91" t="s">
        <v>619</v>
      </c>
      <c r="C58" s="91"/>
      <c r="D58" s="91"/>
      <c r="E58" s="91"/>
      <c r="F58" s="91" t="s">
        <v>620</v>
      </c>
      <c r="G58" s="91"/>
      <c r="H58" s="91"/>
      <c r="I58" s="91"/>
      <c r="J58" s="91"/>
      <c r="K58" s="91"/>
      <c r="L58" s="91"/>
      <c r="M58" s="261"/>
      <c r="N58" s="267"/>
      <c r="O58" s="268">
        <v>375000</v>
      </c>
      <c r="P58" s="268"/>
      <c r="Q58" s="269">
        <v>393369</v>
      </c>
      <c r="R58" s="268"/>
      <c r="S58" s="269">
        <v>18369</v>
      </c>
      <c r="T58" s="269"/>
      <c r="U58" s="269"/>
      <c r="V58" s="268"/>
      <c r="W58" s="268" t="s">
        <v>621</v>
      </c>
      <c r="X58" s="6"/>
    </row>
    <row r="59" spans="1:24" ht="15.75" customHeight="1">
      <c r="A59" s="260"/>
      <c r="B59" s="91"/>
      <c r="C59" s="91" t="s">
        <v>622</v>
      </c>
      <c r="D59" s="91"/>
      <c r="E59" s="91"/>
      <c r="F59" s="91"/>
      <c r="G59" s="91" t="s">
        <v>623</v>
      </c>
      <c r="H59" s="91"/>
      <c r="I59" s="91"/>
      <c r="J59" s="91"/>
      <c r="K59" s="91"/>
      <c r="L59" s="91"/>
      <c r="M59" s="261"/>
      <c r="N59" s="267"/>
      <c r="O59" s="268"/>
      <c r="P59" s="268"/>
      <c r="Q59" s="269">
        <v>295000</v>
      </c>
      <c r="R59" s="268"/>
      <c r="S59" s="269">
        <v>295000</v>
      </c>
      <c r="T59" s="269"/>
      <c r="U59" s="269"/>
      <c r="V59" s="268"/>
      <c r="W59" s="268"/>
      <c r="X59" s="6"/>
    </row>
    <row r="60" spans="1:24" ht="15.75" customHeight="1">
      <c r="A60" s="260"/>
      <c r="B60" s="91"/>
      <c r="C60" s="91"/>
      <c r="D60" s="91" t="s">
        <v>624</v>
      </c>
      <c r="E60" s="91"/>
      <c r="F60" s="91"/>
      <c r="G60" s="91"/>
      <c r="H60" s="91"/>
      <c r="I60" s="91" t="s">
        <v>625</v>
      </c>
      <c r="J60" s="91"/>
      <c r="K60" s="91"/>
      <c r="L60" s="91"/>
      <c r="M60" s="261"/>
      <c r="N60" s="267"/>
      <c r="O60" s="268"/>
      <c r="P60" s="268"/>
      <c r="Q60" s="269">
        <v>295000</v>
      </c>
      <c r="R60" s="268"/>
      <c r="S60" s="269">
        <v>295000</v>
      </c>
      <c r="T60" s="269"/>
      <c r="U60" s="269"/>
      <c r="V60" s="268"/>
      <c r="W60" s="268"/>
      <c r="X60" s="6"/>
    </row>
    <row r="61" spans="1:24" ht="15.75" customHeight="1">
      <c r="A61" s="262"/>
      <c r="B61" s="92"/>
      <c r="C61" s="92" t="s">
        <v>626</v>
      </c>
      <c r="D61" s="92"/>
      <c r="E61" s="92"/>
      <c r="F61" s="92"/>
      <c r="G61" s="92" t="s">
        <v>627</v>
      </c>
      <c r="H61" s="92"/>
      <c r="I61" s="92"/>
      <c r="J61" s="92"/>
      <c r="K61" s="92"/>
      <c r="L61" s="92"/>
      <c r="M61" s="263"/>
      <c r="N61" s="270"/>
      <c r="O61" s="271"/>
      <c r="P61" s="271"/>
      <c r="Q61" s="272">
        <v>98369</v>
      </c>
      <c r="R61" s="271"/>
      <c r="S61" s="272">
        <v>98369</v>
      </c>
      <c r="T61" s="272"/>
      <c r="U61" s="272"/>
      <c r="V61" s="271"/>
      <c r="W61" s="271"/>
      <c r="X61" s="6"/>
    </row>
    <row r="62" spans="1:24" ht="15.75" customHeight="1">
      <c r="A62" s="258"/>
      <c r="B62" s="90"/>
      <c r="C62" s="90"/>
      <c r="D62" s="90" t="s">
        <v>628</v>
      </c>
      <c r="E62" s="90"/>
      <c r="F62" s="90"/>
      <c r="G62" s="90"/>
      <c r="H62" s="90"/>
      <c r="I62" s="90" t="s">
        <v>627</v>
      </c>
      <c r="J62" s="90"/>
      <c r="K62" s="90"/>
      <c r="L62" s="90"/>
      <c r="M62" s="259"/>
      <c r="N62" s="264"/>
      <c r="O62" s="265"/>
      <c r="P62" s="266"/>
      <c r="Q62" s="266">
        <v>98369</v>
      </c>
      <c r="R62" s="266"/>
      <c r="S62" s="265">
        <v>98369</v>
      </c>
      <c r="T62" s="265"/>
      <c r="U62" s="265"/>
      <c r="V62" s="266"/>
      <c r="W62" s="265"/>
      <c r="X62" s="6"/>
    </row>
    <row r="63" spans="1:24" ht="15.75" customHeight="1">
      <c r="A63" s="260"/>
      <c r="B63" s="91" t="s">
        <v>629</v>
      </c>
      <c r="C63" s="91"/>
      <c r="D63" s="91"/>
      <c r="E63" s="91"/>
      <c r="F63" s="91" t="s">
        <v>630</v>
      </c>
      <c r="G63" s="91"/>
      <c r="H63" s="91"/>
      <c r="I63" s="91"/>
      <c r="J63" s="91"/>
      <c r="K63" s="91"/>
      <c r="L63" s="91"/>
      <c r="M63" s="261"/>
      <c r="N63" s="267"/>
      <c r="O63" s="269">
        <v>0</v>
      </c>
      <c r="P63" s="268"/>
      <c r="Q63" s="269">
        <v>80</v>
      </c>
      <c r="R63" s="268"/>
      <c r="S63" s="269">
        <v>80</v>
      </c>
      <c r="T63" s="269"/>
      <c r="U63" s="269"/>
      <c r="V63" s="268"/>
      <c r="W63" s="269"/>
      <c r="X63" s="6"/>
    </row>
    <row r="64" spans="1:24" ht="15.75" customHeight="1">
      <c r="A64" s="260"/>
      <c r="B64" s="91"/>
      <c r="C64" s="91" t="s">
        <v>631</v>
      </c>
      <c r="D64" s="91"/>
      <c r="E64" s="91"/>
      <c r="F64" s="91"/>
      <c r="G64" s="91" t="s">
        <v>632</v>
      </c>
      <c r="H64" s="91"/>
      <c r="I64" s="91"/>
      <c r="J64" s="91"/>
      <c r="K64" s="91"/>
      <c r="L64" s="91"/>
      <c r="M64" s="261"/>
      <c r="N64" s="267"/>
      <c r="O64" s="269"/>
      <c r="P64" s="268"/>
      <c r="Q64" s="269">
        <v>80</v>
      </c>
      <c r="R64" s="268"/>
      <c r="S64" s="269">
        <v>80</v>
      </c>
      <c r="T64" s="269"/>
      <c r="U64" s="269"/>
      <c r="V64" s="268"/>
      <c r="W64" s="269"/>
      <c r="X64" s="6"/>
    </row>
    <row r="65" spans="1:24" ht="15.75" customHeight="1">
      <c r="A65" s="260"/>
      <c r="B65" s="91"/>
      <c r="C65" s="91"/>
      <c r="D65" s="91" t="s">
        <v>633</v>
      </c>
      <c r="E65" s="91"/>
      <c r="F65" s="91"/>
      <c r="G65" s="91"/>
      <c r="H65" s="91"/>
      <c r="I65" s="91" t="s">
        <v>634</v>
      </c>
      <c r="J65" s="91"/>
      <c r="K65" s="91"/>
      <c r="L65" s="91"/>
      <c r="M65" s="261"/>
      <c r="N65" s="267"/>
      <c r="O65" s="269"/>
      <c r="P65" s="268"/>
      <c r="Q65" s="269">
        <v>80</v>
      </c>
      <c r="R65" s="268"/>
      <c r="S65" s="269">
        <v>80</v>
      </c>
      <c r="T65" s="269"/>
      <c r="U65" s="269"/>
      <c r="V65" s="268"/>
      <c r="W65" s="269"/>
      <c r="X65" s="6"/>
    </row>
    <row r="66" spans="1:24" ht="15.75" customHeight="1">
      <c r="A66" s="260"/>
      <c r="B66" s="91" t="s">
        <v>635</v>
      </c>
      <c r="C66" s="91"/>
      <c r="D66" s="91"/>
      <c r="E66" s="91"/>
      <c r="F66" s="91" t="s">
        <v>636</v>
      </c>
      <c r="G66" s="91"/>
      <c r="H66" s="91"/>
      <c r="I66" s="91"/>
      <c r="J66" s="91"/>
      <c r="K66" s="91"/>
      <c r="L66" s="91"/>
      <c r="M66" s="261"/>
      <c r="N66" s="267"/>
      <c r="O66" s="269">
        <v>22000</v>
      </c>
      <c r="P66" s="268"/>
      <c r="Q66" s="269">
        <v>17960</v>
      </c>
      <c r="R66" s="268"/>
      <c r="S66" s="269">
        <v>-4040</v>
      </c>
      <c r="T66" s="269"/>
      <c r="U66" s="269"/>
      <c r="V66" s="268"/>
      <c r="W66" s="269" t="s">
        <v>637</v>
      </c>
      <c r="X66" s="6"/>
    </row>
    <row r="67" spans="1:24" ht="15.75" customHeight="1">
      <c r="A67" s="260"/>
      <c r="B67" s="91"/>
      <c r="C67" s="91" t="s">
        <v>638</v>
      </c>
      <c r="D67" s="91"/>
      <c r="E67" s="91"/>
      <c r="F67" s="91"/>
      <c r="G67" s="91" t="s">
        <v>639</v>
      </c>
      <c r="H67" s="91"/>
      <c r="I67" s="91"/>
      <c r="J67" s="91"/>
      <c r="K67" s="91"/>
      <c r="L67" s="91"/>
      <c r="M67" s="261"/>
      <c r="N67" s="267"/>
      <c r="O67" s="269"/>
      <c r="P67" s="268"/>
      <c r="Q67" s="269">
        <v>1000</v>
      </c>
      <c r="R67" s="268"/>
      <c r="S67" s="269">
        <v>1000</v>
      </c>
      <c r="T67" s="269"/>
      <c r="U67" s="269"/>
      <c r="V67" s="268"/>
      <c r="W67" s="269"/>
      <c r="X67" s="6"/>
    </row>
    <row r="68" spans="1:24" ht="15.75" customHeight="1">
      <c r="A68" s="260"/>
      <c r="B68" s="91"/>
      <c r="C68" s="91"/>
      <c r="D68" s="91" t="s">
        <v>640</v>
      </c>
      <c r="E68" s="91"/>
      <c r="F68" s="91"/>
      <c r="G68" s="91"/>
      <c r="H68" s="91"/>
      <c r="I68" s="91" t="s">
        <v>641</v>
      </c>
      <c r="J68" s="91"/>
      <c r="K68" s="91"/>
      <c r="L68" s="91"/>
      <c r="M68" s="261"/>
      <c r="N68" s="267"/>
      <c r="O68" s="268"/>
      <c r="P68" s="268"/>
      <c r="Q68" s="269">
        <v>1000</v>
      </c>
      <c r="R68" s="268"/>
      <c r="S68" s="269">
        <v>1000</v>
      </c>
      <c r="T68" s="269"/>
      <c r="U68" s="269"/>
      <c r="V68" s="268"/>
      <c r="W68" s="268"/>
      <c r="X68" s="6"/>
    </row>
    <row r="69" spans="1:24" ht="15.75" customHeight="1">
      <c r="A69" s="260"/>
      <c r="B69" s="91"/>
      <c r="C69" s="91" t="s">
        <v>642</v>
      </c>
      <c r="D69" s="91"/>
      <c r="E69" s="91"/>
      <c r="F69" s="91"/>
      <c r="G69" s="91" t="s">
        <v>643</v>
      </c>
      <c r="H69" s="91"/>
      <c r="I69" s="91"/>
      <c r="J69" s="91"/>
      <c r="K69" s="91"/>
      <c r="L69" s="91"/>
      <c r="M69" s="261"/>
      <c r="N69" s="267"/>
      <c r="O69" s="268"/>
      <c r="P69" s="268"/>
      <c r="Q69" s="269">
        <v>12000</v>
      </c>
      <c r="R69" s="268"/>
      <c r="S69" s="269">
        <v>12000</v>
      </c>
      <c r="T69" s="269"/>
      <c r="U69" s="269"/>
      <c r="V69" s="268"/>
      <c r="W69" s="268"/>
      <c r="X69" s="6"/>
    </row>
    <row r="70" spans="1:24" ht="15.75" customHeight="1">
      <c r="A70" s="260"/>
      <c r="B70" s="91"/>
      <c r="C70" s="91"/>
      <c r="D70" s="91" t="s">
        <v>644</v>
      </c>
      <c r="E70" s="91"/>
      <c r="F70" s="91"/>
      <c r="G70" s="91"/>
      <c r="H70" s="91"/>
      <c r="I70" s="91" t="s">
        <v>645</v>
      </c>
      <c r="J70" s="91"/>
      <c r="K70" s="91"/>
      <c r="L70" s="91"/>
      <c r="M70" s="261"/>
      <c r="N70" s="267"/>
      <c r="O70" s="268"/>
      <c r="P70" s="268"/>
      <c r="Q70" s="269">
        <v>12000</v>
      </c>
      <c r="R70" s="268"/>
      <c r="S70" s="269">
        <v>12000</v>
      </c>
      <c r="T70" s="269"/>
      <c r="U70" s="269"/>
      <c r="V70" s="268"/>
      <c r="W70" s="268"/>
      <c r="X70" s="6"/>
    </row>
    <row r="71" spans="1:24" ht="15.75" customHeight="1">
      <c r="A71" s="260"/>
      <c r="B71" s="91"/>
      <c r="C71" s="91" t="s">
        <v>646</v>
      </c>
      <c r="D71" s="91"/>
      <c r="E71" s="91"/>
      <c r="F71" s="91"/>
      <c r="G71" s="91" t="s">
        <v>647</v>
      </c>
      <c r="H71" s="91"/>
      <c r="I71" s="91"/>
      <c r="J71" s="91"/>
      <c r="K71" s="91"/>
      <c r="L71" s="91"/>
      <c r="M71" s="261"/>
      <c r="N71" s="267"/>
      <c r="O71" s="268"/>
      <c r="P71" s="268"/>
      <c r="Q71" s="269">
        <v>4960</v>
      </c>
      <c r="R71" s="268"/>
      <c r="S71" s="269">
        <v>4960</v>
      </c>
      <c r="T71" s="269"/>
      <c r="U71" s="269"/>
      <c r="V71" s="268"/>
      <c r="W71" s="268"/>
      <c r="X71" s="6"/>
    </row>
    <row r="72" spans="1:24" ht="15.75" customHeight="1">
      <c r="A72" s="260"/>
      <c r="B72" s="91"/>
      <c r="C72" s="91"/>
      <c r="D72" s="91" t="s">
        <v>648</v>
      </c>
      <c r="E72" s="91"/>
      <c r="F72" s="91"/>
      <c r="G72" s="91"/>
      <c r="H72" s="91"/>
      <c r="I72" s="91" t="s">
        <v>649</v>
      </c>
      <c r="J72" s="91"/>
      <c r="K72" s="91"/>
      <c r="L72" s="91"/>
      <c r="M72" s="261"/>
      <c r="N72" s="267"/>
      <c r="O72" s="268"/>
      <c r="P72" s="268"/>
      <c r="Q72" s="269">
        <v>4960</v>
      </c>
      <c r="R72" s="268"/>
      <c r="S72" s="269">
        <v>4960</v>
      </c>
      <c r="T72" s="269"/>
      <c r="U72" s="269"/>
      <c r="V72" s="268"/>
      <c r="W72" s="268"/>
      <c r="X72" s="6"/>
    </row>
    <row r="73" spans="1:24" ht="15.75" customHeight="1">
      <c r="A73" s="260"/>
      <c r="B73" s="91" t="s">
        <v>650</v>
      </c>
      <c r="C73" s="91"/>
      <c r="D73" s="91"/>
      <c r="E73" s="91"/>
      <c r="F73" s="91" t="s">
        <v>206</v>
      </c>
      <c r="G73" s="91"/>
      <c r="H73" s="91"/>
      <c r="I73" s="91"/>
      <c r="J73" s="91"/>
      <c r="K73" s="91"/>
      <c r="L73" s="91"/>
      <c r="M73" s="261"/>
      <c r="N73" s="267"/>
      <c r="O73" s="268">
        <v>33000</v>
      </c>
      <c r="P73" s="268"/>
      <c r="Q73" s="269">
        <v>10420</v>
      </c>
      <c r="R73" s="268"/>
      <c r="S73" s="269">
        <v>-22580</v>
      </c>
      <c r="T73" s="269"/>
      <c r="U73" s="269"/>
      <c r="V73" s="268"/>
      <c r="W73" s="268" t="s">
        <v>651</v>
      </c>
      <c r="X73" s="6"/>
    </row>
    <row r="74" spans="1:24" ht="15.75" customHeight="1">
      <c r="A74" s="260"/>
      <c r="B74" s="91"/>
      <c r="C74" s="91" t="s">
        <v>652</v>
      </c>
      <c r="D74" s="91"/>
      <c r="E74" s="91"/>
      <c r="F74" s="91"/>
      <c r="G74" s="91" t="s">
        <v>653</v>
      </c>
      <c r="H74" s="91"/>
      <c r="I74" s="91"/>
      <c r="J74" s="91"/>
      <c r="K74" s="91"/>
      <c r="L74" s="91"/>
      <c r="M74" s="261"/>
      <c r="N74" s="267"/>
      <c r="O74" s="268"/>
      <c r="P74" s="268"/>
      <c r="Q74" s="269">
        <v>10420</v>
      </c>
      <c r="R74" s="268"/>
      <c r="S74" s="269">
        <v>10420</v>
      </c>
      <c r="T74" s="269"/>
      <c r="U74" s="269"/>
      <c r="V74" s="268"/>
      <c r="W74" s="268"/>
      <c r="X74" s="6"/>
    </row>
    <row r="75" spans="1:24" ht="15.75" customHeight="1">
      <c r="A75" s="260"/>
      <c r="B75" s="91"/>
      <c r="C75" s="91"/>
      <c r="D75" s="91" t="s">
        <v>654</v>
      </c>
      <c r="E75" s="91"/>
      <c r="F75" s="91"/>
      <c r="G75" s="91"/>
      <c r="H75" s="91"/>
      <c r="I75" s="91" t="s">
        <v>206</v>
      </c>
      <c r="J75" s="91"/>
      <c r="K75" s="91"/>
      <c r="L75" s="91"/>
      <c r="M75" s="261"/>
      <c r="N75" s="267"/>
      <c r="O75" s="268"/>
      <c r="P75" s="268"/>
      <c r="Q75" s="269">
        <v>10420</v>
      </c>
      <c r="R75" s="268"/>
      <c r="S75" s="269">
        <v>10420</v>
      </c>
      <c r="T75" s="269"/>
      <c r="U75" s="269"/>
      <c r="V75" s="268"/>
      <c r="W75" s="268"/>
      <c r="X75" s="6"/>
    </row>
    <row r="76" spans="1:24" ht="15.75" customHeight="1">
      <c r="A76" s="260"/>
      <c r="B76" s="91"/>
      <c r="C76" s="91"/>
      <c r="D76" s="91" t="s">
        <v>655</v>
      </c>
      <c r="E76" s="91"/>
      <c r="F76" s="91"/>
      <c r="G76" s="91"/>
      <c r="H76" s="91"/>
      <c r="I76" s="91"/>
      <c r="J76" s="91"/>
      <c r="K76" s="91"/>
      <c r="L76" s="91"/>
      <c r="M76" s="261"/>
      <c r="N76" s="267"/>
      <c r="O76" s="268">
        <v>36996000</v>
      </c>
      <c r="P76" s="268"/>
      <c r="Q76" s="269">
        <v>35674806</v>
      </c>
      <c r="R76" s="268"/>
      <c r="S76" s="269">
        <v>-1321194</v>
      </c>
      <c r="T76" s="269"/>
      <c r="U76" s="269"/>
      <c r="V76" s="268"/>
      <c r="W76" s="268" t="s">
        <v>656</v>
      </c>
      <c r="X76" s="6"/>
    </row>
    <row r="77" spans="1:24" ht="15.75" customHeight="1">
      <c r="A77" s="260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261"/>
      <c r="N77" s="267"/>
      <c r="O77" s="268"/>
      <c r="P77" s="268"/>
      <c r="Q77" s="269"/>
      <c r="R77" s="268"/>
      <c r="S77" s="269"/>
      <c r="T77" s="269"/>
      <c r="U77" s="269"/>
      <c r="V77" s="268"/>
      <c r="W77" s="268"/>
      <c r="X77" s="6"/>
    </row>
    <row r="78" spans="1:24" ht="15.75" customHeight="1">
      <c r="A78" s="260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261"/>
      <c r="N78" s="267"/>
      <c r="O78" s="268"/>
      <c r="P78" s="268"/>
      <c r="Q78" s="269"/>
      <c r="R78" s="268"/>
      <c r="S78" s="269"/>
      <c r="T78" s="269"/>
      <c r="U78" s="269"/>
      <c r="V78" s="268"/>
      <c r="W78" s="268"/>
      <c r="X78" s="6"/>
    </row>
    <row r="79" spans="1:24" ht="15.75" customHeight="1">
      <c r="A79" s="260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261"/>
      <c r="N79" s="267"/>
      <c r="O79" s="268"/>
      <c r="P79" s="268"/>
      <c r="Q79" s="269"/>
      <c r="R79" s="268"/>
      <c r="S79" s="269"/>
      <c r="T79" s="269"/>
      <c r="U79" s="269"/>
      <c r="V79" s="268"/>
      <c r="W79" s="268"/>
      <c r="X79" s="6"/>
    </row>
    <row r="80" spans="1:24" ht="15.75" customHeight="1">
      <c r="A80" s="260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261"/>
      <c r="N80" s="267"/>
      <c r="O80" s="268"/>
      <c r="P80" s="268"/>
      <c r="Q80" s="269"/>
      <c r="R80" s="268"/>
      <c r="S80" s="269"/>
      <c r="T80" s="269"/>
      <c r="U80" s="269"/>
      <c r="V80" s="268"/>
      <c r="W80" s="268"/>
      <c r="X80" s="6"/>
    </row>
    <row r="81" spans="1:24" ht="15.75" customHeight="1">
      <c r="A81" s="260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261"/>
      <c r="N81" s="267"/>
      <c r="O81" s="268"/>
      <c r="P81" s="268"/>
      <c r="Q81" s="269"/>
      <c r="R81" s="268"/>
      <c r="S81" s="269"/>
      <c r="T81" s="269"/>
      <c r="U81" s="269"/>
      <c r="V81" s="268"/>
      <c r="W81" s="268"/>
      <c r="X81" s="6"/>
    </row>
    <row r="82" spans="1:24" ht="15.75" customHeight="1">
      <c r="A82" s="260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261"/>
      <c r="N82" s="267"/>
      <c r="O82" s="268"/>
      <c r="P82" s="268"/>
      <c r="Q82" s="269"/>
      <c r="R82" s="268"/>
      <c r="S82" s="269"/>
      <c r="T82" s="269"/>
      <c r="U82" s="269"/>
      <c r="V82" s="268"/>
      <c r="W82" s="268"/>
      <c r="X82" s="6"/>
    </row>
    <row r="83" spans="1:24" ht="15.75" customHeight="1">
      <c r="A83" s="260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261"/>
      <c r="N83" s="267"/>
      <c r="O83" s="269"/>
      <c r="P83" s="268"/>
      <c r="Q83" s="269"/>
      <c r="R83" s="268"/>
      <c r="S83" s="269"/>
      <c r="T83" s="269"/>
      <c r="U83" s="269"/>
      <c r="V83" s="268"/>
      <c r="W83" s="269"/>
      <c r="X83" s="6"/>
    </row>
    <row r="84" spans="1:24" ht="15.75" customHeight="1">
      <c r="A84" s="260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261"/>
      <c r="N84" s="267"/>
      <c r="O84" s="268"/>
      <c r="P84" s="268"/>
      <c r="Q84" s="269"/>
      <c r="R84" s="268"/>
      <c r="S84" s="269"/>
      <c r="T84" s="269"/>
      <c r="U84" s="269"/>
      <c r="V84" s="268"/>
      <c r="W84" s="268"/>
      <c r="X84" s="6"/>
    </row>
    <row r="85" spans="1:24" ht="15.75" customHeight="1">
      <c r="A85" s="260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261"/>
      <c r="N85" s="267"/>
      <c r="O85" s="268"/>
      <c r="P85" s="268"/>
      <c r="Q85" s="269"/>
      <c r="R85" s="268"/>
      <c r="S85" s="269"/>
      <c r="T85" s="269"/>
      <c r="U85" s="269"/>
      <c r="V85" s="268"/>
      <c r="W85" s="268"/>
      <c r="X85" s="6"/>
    </row>
    <row r="86" spans="1:24" ht="15.75" customHeight="1">
      <c r="A86" s="93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263"/>
      <c r="N86" s="270"/>
      <c r="O86" s="272"/>
      <c r="P86" s="271"/>
      <c r="Q86" s="272"/>
      <c r="R86" s="271"/>
      <c r="S86" s="272"/>
      <c r="T86" s="272"/>
      <c r="U86" s="272"/>
      <c r="V86" s="271"/>
      <c r="W86" s="272"/>
      <c r="X86" s="6"/>
    </row>
    <row r="87" spans="1:24" ht="26.25" customHeight="1">
      <c r="B87" s="245"/>
      <c r="C87" s="245"/>
      <c r="D87" s="245"/>
      <c r="E87" s="245"/>
      <c r="F87" s="245"/>
      <c r="G87" s="245"/>
      <c r="H87" s="245"/>
      <c r="I87" s="245"/>
      <c r="J87" s="245"/>
      <c r="K87" s="245"/>
      <c r="L87" s="245"/>
      <c r="M87" s="245"/>
      <c r="N87" s="245"/>
      <c r="O87" s="245"/>
      <c r="P87" s="245"/>
      <c r="Q87" s="245"/>
      <c r="R87" s="245"/>
      <c r="S87" s="245"/>
      <c r="T87" s="245"/>
      <c r="U87" s="245"/>
      <c r="V87" s="245"/>
      <c r="W87" s="245"/>
    </row>
    <row r="88" spans="1:24" ht="30" customHeight="1">
      <c r="B88" s="245"/>
      <c r="C88" s="245"/>
      <c r="D88" s="245"/>
      <c r="E88" s="245"/>
      <c r="F88" s="245"/>
      <c r="G88" s="245"/>
      <c r="H88" s="245"/>
      <c r="I88" s="245"/>
      <c r="J88" s="245"/>
      <c r="K88" s="245"/>
      <c r="L88" s="245"/>
      <c r="M88" s="245"/>
      <c r="N88" s="245"/>
      <c r="O88" s="245"/>
      <c r="P88" s="245"/>
      <c r="Q88" s="245"/>
      <c r="R88" s="245"/>
      <c r="S88" s="245"/>
      <c r="T88" s="245"/>
      <c r="U88" s="245"/>
      <c r="V88" s="245"/>
      <c r="W88" s="245"/>
    </row>
    <row r="89" spans="1:24" ht="12.75" customHeight="1">
      <c r="B89" s="245"/>
      <c r="C89" s="245"/>
      <c r="D89" s="245"/>
      <c r="E89" s="245"/>
      <c r="F89" s="245"/>
      <c r="G89" s="245"/>
      <c r="H89" s="245"/>
      <c r="I89" s="245"/>
      <c r="J89" s="245"/>
      <c r="K89" s="245"/>
      <c r="L89" s="245"/>
      <c r="M89" s="245"/>
      <c r="N89" s="245"/>
      <c r="O89" s="245"/>
      <c r="P89" s="245"/>
      <c r="Q89" s="245"/>
      <c r="R89" s="245"/>
      <c r="S89" s="245"/>
      <c r="T89" s="245"/>
      <c r="U89" s="245"/>
      <c r="V89" s="245"/>
      <c r="W89" s="245"/>
    </row>
    <row r="90" spans="1:24" ht="12.75" customHeight="1">
      <c r="B90" s="245"/>
      <c r="C90" s="245"/>
      <c r="D90" s="245"/>
      <c r="E90" s="245"/>
      <c r="F90" s="245"/>
      <c r="G90" s="245"/>
      <c r="H90" s="245"/>
      <c r="I90" s="245"/>
      <c r="J90" s="245"/>
      <c r="K90" s="245"/>
      <c r="L90" s="245"/>
      <c r="M90" s="245"/>
      <c r="N90" s="245"/>
      <c r="O90" s="245"/>
      <c r="P90" s="245"/>
      <c r="Q90" s="245"/>
      <c r="R90" s="245"/>
      <c r="S90" s="245"/>
      <c r="T90" s="245"/>
      <c r="U90" s="245"/>
      <c r="V90" s="245"/>
      <c r="W90" s="245"/>
    </row>
    <row r="91" spans="1:24" ht="12.75" customHeight="1">
      <c r="B91" s="245"/>
      <c r="C91" s="245"/>
      <c r="D91" s="245"/>
      <c r="E91" s="245"/>
      <c r="F91" s="245"/>
      <c r="G91" s="245"/>
      <c r="H91" s="245"/>
      <c r="I91" s="245"/>
      <c r="J91" s="245"/>
      <c r="K91" s="245"/>
      <c r="L91" s="245"/>
      <c r="M91" s="245"/>
      <c r="N91" s="245"/>
      <c r="O91" s="245"/>
      <c r="P91" s="245"/>
      <c r="Q91" s="245"/>
      <c r="R91" s="245"/>
      <c r="S91" s="245"/>
      <c r="T91" s="245"/>
      <c r="U91" s="245"/>
      <c r="V91" s="245"/>
      <c r="W91" s="245"/>
    </row>
    <row r="92" spans="1:24" ht="12.75" customHeight="1">
      <c r="B92" s="245"/>
      <c r="C92" s="245"/>
      <c r="D92" s="245"/>
      <c r="E92" s="245"/>
      <c r="F92" s="245"/>
      <c r="G92" s="245"/>
      <c r="H92" s="245"/>
      <c r="I92" s="245"/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</row>
    <row r="93" spans="1:24" ht="12.75" customHeight="1">
      <c r="B93" s="245"/>
      <c r="C93" s="245"/>
      <c r="D93" s="245"/>
      <c r="E93" s="245"/>
      <c r="F93" s="245"/>
      <c r="G93" s="245"/>
      <c r="H93" s="245"/>
      <c r="I93" s="245"/>
      <c r="J93" s="245"/>
      <c r="K93" s="245"/>
      <c r="L93" s="245"/>
      <c r="M93" s="245"/>
      <c r="N93" s="245"/>
      <c r="O93" s="245"/>
      <c r="P93" s="245"/>
      <c r="Q93" s="245"/>
      <c r="R93" s="245"/>
      <c r="S93" s="245"/>
      <c r="T93" s="245"/>
      <c r="U93" s="245"/>
      <c r="V93" s="245"/>
      <c r="W93" s="245"/>
    </row>
    <row r="94" spans="1:24" ht="12.75" customHeight="1">
      <c r="B94" s="245"/>
      <c r="C94" s="245"/>
      <c r="D94" s="245"/>
      <c r="E94" s="245"/>
      <c r="F94" s="245"/>
      <c r="G94" s="245"/>
      <c r="H94" s="245"/>
      <c r="I94" s="245"/>
      <c r="J94" s="245"/>
      <c r="K94" s="245"/>
      <c r="L94" s="245"/>
      <c r="M94" s="245"/>
      <c r="N94" s="245"/>
      <c r="O94" s="245"/>
      <c r="P94" s="245"/>
      <c r="Q94" s="245"/>
      <c r="R94" s="245"/>
      <c r="S94" s="245"/>
      <c r="T94" s="245"/>
      <c r="U94" s="245"/>
      <c r="V94" s="245"/>
      <c r="W94" s="245"/>
    </row>
    <row r="95" spans="1:24" ht="12.75" customHeight="1">
      <c r="B95" s="245"/>
      <c r="C95" s="245"/>
      <c r="D95" s="245"/>
      <c r="E95" s="245"/>
      <c r="F95" s="245"/>
      <c r="G95" s="245"/>
      <c r="H95" s="245"/>
      <c r="I95" s="245"/>
      <c r="J95" s="245"/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</row>
    <row r="96" spans="1:24" ht="12.75" customHeight="1">
      <c r="B96" s="245"/>
      <c r="C96" s="245"/>
      <c r="D96" s="245"/>
      <c r="E96" s="245"/>
      <c r="F96" s="245"/>
      <c r="G96" s="245"/>
      <c r="H96" s="245"/>
      <c r="I96" s="245"/>
      <c r="J96" s="245"/>
      <c r="K96" s="245"/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</row>
    <row r="97" spans="2:23" ht="12.75" customHeight="1">
      <c r="B97" s="245"/>
      <c r="C97" s="245"/>
      <c r="D97" s="245"/>
      <c r="E97" s="245"/>
      <c r="F97" s="245"/>
      <c r="G97" s="245"/>
      <c r="H97" s="245"/>
      <c r="I97" s="245"/>
      <c r="J97" s="245"/>
      <c r="K97" s="245"/>
      <c r="L97" s="245"/>
      <c r="M97" s="245"/>
      <c r="N97" s="245"/>
      <c r="O97" s="245"/>
      <c r="P97" s="245"/>
      <c r="Q97" s="245"/>
      <c r="R97" s="245"/>
      <c r="S97" s="245"/>
      <c r="T97" s="245"/>
      <c r="U97" s="245"/>
      <c r="V97" s="245"/>
      <c r="W97" s="245"/>
    </row>
    <row r="98" spans="2:23" ht="12.75" customHeight="1">
      <c r="B98" s="245"/>
      <c r="C98" s="245"/>
      <c r="D98" s="245"/>
      <c r="E98" s="245"/>
      <c r="F98" s="245"/>
      <c r="G98" s="245"/>
      <c r="H98" s="245"/>
      <c r="I98" s="245"/>
      <c r="J98" s="245"/>
      <c r="K98" s="245"/>
      <c r="L98" s="245"/>
      <c r="M98" s="245"/>
      <c r="N98" s="245"/>
      <c r="O98" s="245"/>
      <c r="P98" s="245"/>
      <c r="Q98" s="245"/>
      <c r="R98" s="245"/>
      <c r="S98" s="245"/>
      <c r="T98" s="245"/>
      <c r="U98" s="245"/>
      <c r="V98" s="245"/>
      <c r="W98" s="245"/>
    </row>
    <row r="99" spans="2:23" ht="12.75" customHeight="1">
      <c r="B99" s="245"/>
      <c r="C99" s="245"/>
      <c r="D99" s="245"/>
      <c r="E99" s="245"/>
      <c r="F99" s="245"/>
      <c r="G99" s="245"/>
      <c r="H99" s="245"/>
      <c r="I99" s="245"/>
      <c r="J99" s="245"/>
      <c r="K99" s="245"/>
      <c r="L99" s="245"/>
      <c r="M99" s="245"/>
      <c r="N99" s="245"/>
      <c r="O99" s="245"/>
      <c r="P99" s="245"/>
      <c r="Q99" s="245"/>
      <c r="R99" s="245"/>
      <c r="S99" s="245"/>
      <c r="T99" s="245"/>
      <c r="U99" s="245"/>
      <c r="V99" s="245"/>
      <c r="W99" s="245"/>
    </row>
    <row r="100" spans="2:23" ht="12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  <c r="L100" s="245"/>
      <c r="M100" s="245"/>
      <c r="N100" s="245"/>
      <c r="O100" s="245"/>
      <c r="P100" s="245"/>
      <c r="Q100" s="245"/>
      <c r="R100" s="245"/>
      <c r="S100" s="245"/>
      <c r="T100" s="245"/>
      <c r="U100" s="245"/>
      <c r="V100" s="245"/>
      <c r="W100" s="245"/>
    </row>
    <row r="101" spans="2:23" ht="12.75" customHeight="1">
      <c r="B101" s="245"/>
      <c r="C101" s="245"/>
      <c r="D101" s="245"/>
      <c r="E101" s="245"/>
      <c r="F101" s="245"/>
      <c r="G101" s="245"/>
      <c r="H101" s="245"/>
      <c r="I101" s="245"/>
      <c r="J101" s="245"/>
      <c r="K101" s="245"/>
      <c r="L101" s="245"/>
      <c r="M101" s="245"/>
      <c r="N101" s="245"/>
      <c r="O101" s="245"/>
      <c r="P101" s="245"/>
      <c r="Q101" s="245"/>
      <c r="R101" s="245"/>
      <c r="S101" s="245"/>
      <c r="T101" s="245"/>
      <c r="U101" s="245"/>
      <c r="V101" s="245"/>
      <c r="W101" s="245"/>
    </row>
    <row r="102" spans="2:23" ht="12.75" customHeight="1">
      <c r="B102" s="245"/>
      <c r="C102" s="245"/>
      <c r="D102" s="245"/>
      <c r="E102" s="245"/>
      <c r="F102" s="245"/>
      <c r="G102" s="245"/>
      <c r="H102" s="245"/>
      <c r="I102" s="245"/>
      <c r="J102" s="245"/>
      <c r="K102" s="245"/>
      <c r="L102" s="245"/>
      <c r="M102" s="245"/>
      <c r="N102" s="245"/>
      <c r="O102" s="245"/>
      <c r="P102" s="245"/>
      <c r="Q102" s="245"/>
      <c r="R102" s="245"/>
      <c r="S102" s="245"/>
      <c r="T102" s="245"/>
      <c r="U102" s="245"/>
      <c r="V102" s="245"/>
      <c r="W102" s="245"/>
    </row>
    <row r="103" spans="2:23" ht="12.75" customHeight="1">
      <c r="B103" s="245"/>
      <c r="C103" s="245"/>
      <c r="D103" s="245"/>
      <c r="E103" s="245"/>
      <c r="F103" s="245"/>
      <c r="G103" s="245"/>
      <c r="H103" s="245"/>
      <c r="I103" s="245"/>
      <c r="J103" s="245"/>
      <c r="K103" s="245"/>
      <c r="L103" s="245"/>
      <c r="M103" s="245"/>
      <c r="N103" s="245"/>
      <c r="O103" s="245"/>
      <c r="P103" s="245"/>
      <c r="Q103" s="245"/>
      <c r="R103" s="245"/>
      <c r="S103" s="245"/>
      <c r="T103" s="245"/>
      <c r="U103" s="245"/>
      <c r="V103" s="245"/>
      <c r="W103" s="245"/>
    </row>
    <row r="104" spans="2:23" ht="12.75" customHeight="1">
      <c r="B104" s="245"/>
      <c r="C104" s="245"/>
      <c r="D104" s="245"/>
      <c r="E104" s="245"/>
      <c r="F104" s="245"/>
      <c r="G104" s="245"/>
      <c r="H104" s="245"/>
      <c r="I104" s="245"/>
      <c r="J104" s="245"/>
      <c r="K104" s="245"/>
      <c r="L104" s="245"/>
      <c r="M104" s="245"/>
      <c r="N104" s="245"/>
      <c r="O104" s="245"/>
      <c r="P104" s="245"/>
      <c r="Q104" s="245"/>
      <c r="R104" s="245"/>
      <c r="S104" s="245"/>
      <c r="T104" s="245"/>
      <c r="U104" s="245"/>
      <c r="V104" s="245"/>
      <c r="W104" s="245"/>
    </row>
    <row r="105" spans="2:23" ht="12.75" customHeight="1">
      <c r="B105" s="245"/>
      <c r="C105" s="245"/>
      <c r="D105" s="245"/>
      <c r="E105" s="245"/>
      <c r="F105" s="245"/>
      <c r="G105" s="245"/>
      <c r="H105" s="245"/>
      <c r="I105" s="245"/>
      <c r="J105" s="245"/>
      <c r="K105" s="245"/>
      <c r="L105" s="245"/>
      <c r="M105" s="245"/>
      <c r="N105" s="245"/>
      <c r="O105" s="245"/>
      <c r="P105" s="245"/>
      <c r="Q105" s="245"/>
      <c r="R105" s="245"/>
      <c r="S105" s="245"/>
      <c r="T105" s="245"/>
      <c r="U105" s="245"/>
      <c r="V105" s="245"/>
      <c r="W105" s="245"/>
    </row>
    <row r="106" spans="2:23" ht="12.75" customHeight="1">
      <c r="B106" s="245"/>
      <c r="C106" s="245"/>
      <c r="D106" s="245"/>
      <c r="E106" s="245"/>
      <c r="F106" s="245"/>
      <c r="G106" s="245"/>
      <c r="H106" s="245"/>
      <c r="I106" s="245"/>
      <c r="J106" s="245"/>
      <c r="K106" s="245"/>
      <c r="L106" s="245"/>
      <c r="M106" s="245"/>
      <c r="N106" s="245"/>
      <c r="O106" s="245"/>
      <c r="P106" s="245"/>
      <c r="Q106" s="245"/>
      <c r="R106" s="245"/>
      <c r="S106" s="245"/>
      <c r="T106" s="245"/>
      <c r="U106" s="245"/>
      <c r="V106" s="245"/>
      <c r="W106" s="245"/>
    </row>
    <row r="107" spans="2:23" ht="12.75" customHeight="1">
      <c r="B107" s="245"/>
      <c r="C107" s="245"/>
      <c r="D107" s="245"/>
      <c r="E107" s="245"/>
      <c r="F107" s="245"/>
      <c r="G107" s="245"/>
      <c r="H107" s="245"/>
      <c r="I107" s="245"/>
      <c r="J107" s="245"/>
      <c r="K107" s="245"/>
      <c r="L107" s="245"/>
      <c r="M107" s="245"/>
      <c r="N107" s="245"/>
      <c r="O107" s="245"/>
      <c r="P107" s="245"/>
      <c r="Q107" s="245"/>
      <c r="R107" s="245"/>
      <c r="S107" s="245"/>
      <c r="T107" s="245"/>
      <c r="U107" s="245"/>
      <c r="V107" s="245"/>
      <c r="W107" s="245"/>
    </row>
    <row r="108" spans="2:23" ht="12.75" customHeight="1">
      <c r="B108" s="245"/>
      <c r="C108" s="245"/>
      <c r="D108" s="245"/>
      <c r="E108" s="245"/>
      <c r="F108" s="245"/>
      <c r="G108" s="245"/>
      <c r="H108" s="245"/>
      <c r="I108" s="245"/>
      <c r="J108" s="245"/>
      <c r="K108" s="245"/>
      <c r="L108" s="245"/>
      <c r="M108" s="245"/>
      <c r="N108" s="245"/>
      <c r="O108" s="245"/>
      <c r="P108" s="245"/>
      <c r="Q108" s="245"/>
      <c r="R108" s="245"/>
      <c r="S108" s="245"/>
      <c r="T108" s="245"/>
      <c r="U108" s="245"/>
      <c r="V108" s="245"/>
      <c r="W108" s="245"/>
    </row>
    <row r="109" spans="2:23" ht="12.75" customHeight="1">
      <c r="B109" s="245"/>
      <c r="C109" s="245"/>
      <c r="D109" s="245"/>
      <c r="E109" s="245"/>
      <c r="F109" s="245"/>
      <c r="G109" s="245"/>
      <c r="H109" s="245"/>
      <c r="I109" s="245"/>
      <c r="J109" s="245"/>
      <c r="K109" s="245"/>
      <c r="L109" s="245"/>
      <c r="M109" s="245"/>
      <c r="N109" s="245"/>
      <c r="O109" s="245"/>
      <c r="P109" s="245"/>
      <c r="Q109" s="245"/>
      <c r="R109" s="245"/>
      <c r="S109" s="245"/>
      <c r="T109" s="245"/>
      <c r="U109" s="245"/>
      <c r="V109" s="245"/>
      <c r="W109" s="245"/>
    </row>
    <row r="110" spans="2:23" ht="12.75" customHeight="1">
      <c r="B110" s="245"/>
      <c r="C110" s="245"/>
      <c r="D110" s="245"/>
      <c r="E110" s="245"/>
      <c r="F110" s="245"/>
      <c r="G110" s="245"/>
      <c r="H110" s="245"/>
      <c r="I110" s="245"/>
      <c r="J110" s="245"/>
      <c r="K110" s="245"/>
      <c r="L110" s="245"/>
      <c r="M110" s="245"/>
      <c r="N110" s="245"/>
      <c r="O110" s="245"/>
      <c r="P110" s="245"/>
      <c r="Q110" s="245"/>
      <c r="R110" s="245"/>
      <c r="S110" s="245"/>
      <c r="T110" s="245"/>
      <c r="U110" s="245"/>
      <c r="V110" s="245"/>
      <c r="W110" s="245"/>
    </row>
    <row r="111" spans="2:23" ht="12.75" customHeight="1">
      <c r="B111" s="245"/>
      <c r="C111" s="245"/>
      <c r="D111" s="245"/>
      <c r="E111" s="245"/>
      <c r="F111" s="245"/>
      <c r="G111" s="245"/>
      <c r="H111" s="245"/>
      <c r="I111" s="245"/>
      <c r="J111" s="245"/>
      <c r="K111" s="245"/>
      <c r="L111" s="245"/>
      <c r="M111" s="245"/>
      <c r="N111" s="245"/>
      <c r="O111" s="245"/>
      <c r="P111" s="245"/>
      <c r="Q111" s="245"/>
      <c r="R111" s="245"/>
      <c r="S111" s="245"/>
      <c r="T111" s="245"/>
      <c r="U111" s="245"/>
      <c r="V111" s="245"/>
      <c r="W111" s="245"/>
    </row>
    <row r="112" spans="2:23" ht="12.75" customHeight="1"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245"/>
      <c r="N112" s="245"/>
      <c r="O112" s="245"/>
      <c r="P112" s="245"/>
      <c r="Q112" s="245"/>
      <c r="R112" s="245"/>
      <c r="S112" s="245"/>
      <c r="T112" s="245"/>
      <c r="U112" s="245"/>
      <c r="V112" s="245"/>
      <c r="W112" s="245"/>
    </row>
    <row r="113" spans="2:23" ht="12.75" customHeight="1"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245"/>
      <c r="N113" s="245"/>
      <c r="O113" s="245"/>
      <c r="P113" s="245"/>
      <c r="Q113" s="245"/>
      <c r="R113" s="245"/>
      <c r="S113" s="245"/>
      <c r="T113" s="245"/>
      <c r="U113" s="245"/>
      <c r="V113" s="245"/>
      <c r="W113" s="245"/>
    </row>
    <row r="114" spans="2:23" ht="12.75" customHeight="1">
      <c r="B114" s="245"/>
      <c r="C114" s="245"/>
      <c r="D114" s="245"/>
      <c r="E114" s="245"/>
      <c r="F114" s="245"/>
      <c r="G114" s="245"/>
      <c r="H114" s="245"/>
      <c r="I114" s="245"/>
      <c r="J114" s="245"/>
      <c r="K114" s="245"/>
      <c r="L114" s="245"/>
      <c r="M114" s="245"/>
      <c r="N114" s="245"/>
      <c r="O114" s="245"/>
      <c r="P114" s="245"/>
      <c r="Q114" s="245"/>
      <c r="R114" s="245"/>
      <c r="S114" s="245"/>
      <c r="T114" s="245"/>
      <c r="U114" s="245"/>
      <c r="V114" s="245"/>
      <c r="W114" s="245"/>
    </row>
    <row r="115" spans="2:23" ht="12.75" customHeight="1">
      <c r="B115" s="245"/>
      <c r="C115" s="245"/>
      <c r="D115" s="245"/>
      <c r="E115" s="245"/>
      <c r="F115" s="245"/>
      <c r="G115" s="245"/>
      <c r="H115" s="245"/>
      <c r="I115" s="245"/>
      <c r="J115" s="245"/>
      <c r="K115" s="245"/>
      <c r="L115" s="245"/>
      <c r="M115" s="245"/>
      <c r="N115" s="245"/>
      <c r="O115" s="245"/>
      <c r="P115" s="245"/>
      <c r="Q115" s="245"/>
      <c r="R115" s="245"/>
      <c r="S115" s="245"/>
      <c r="T115" s="245"/>
      <c r="U115" s="245"/>
      <c r="V115" s="245"/>
      <c r="W115" s="245"/>
    </row>
    <row r="116" spans="2:23" ht="12.75" customHeight="1">
      <c r="B116" s="245"/>
      <c r="C116" s="245"/>
      <c r="D116" s="245"/>
      <c r="E116" s="245"/>
      <c r="F116" s="245"/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  <c r="Q116" s="245"/>
      <c r="R116" s="245"/>
      <c r="S116" s="245"/>
      <c r="T116" s="245"/>
      <c r="U116" s="245"/>
      <c r="V116" s="245"/>
      <c r="W116" s="245"/>
    </row>
    <row r="117" spans="2:23" ht="12.75" customHeight="1">
      <c r="B117" s="245"/>
      <c r="C117" s="245"/>
      <c r="D117" s="245"/>
      <c r="E117" s="245"/>
      <c r="F117" s="245"/>
      <c r="G117" s="245"/>
      <c r="H117" s="245"/>
      <c r="I117" s="245"/>
      <c r="J117" s="245"/>
      <c r="K117" s="245"/>
      <c r="L117" s="245"/>
      <c r="M117" s="245"/>
      <c r="N117" s="245"/>
      <c r="O117" s="245"/>
      <c r="P117" s="245"/>
      <c r="Q117" s="245"/>
      <c r="R117" s="245"/>
      <c r="S117" s="245"/>
      <c r="T117" s="245"/>
      <c r="U117" s="245"/>
      <c r="V117" s="245"/>
      <c r="W117" s="245"/>
    </row>
    <row r="118" spans="2:23" ht="12.75" customHeight="1">
      <c r="B118" s="245"/>
      <c r="C118" s="245"/>
      <c r="D118" s="245"/>
      <c r="E118" s="245"/>
      <c r="F118" s="245"/>
      <c r="G118" s="245"/>
      <c r="H118" s="245"/>
      <c r="I118" s="245"/>
      <c r="J118" s="245"/>
      <c r="K118" s="245"/>
      <c r="L118" s="245"/>
      <c r="M118" s="245"/>
      <c r="N118" s="245"/>
      <c r="O118" s="245"/>
      <c r="P118" s="245"/>
      <c r="Q118" s="245"/>
      <c r="R118" s="245"/>
      <c r="S118" s="245"/>
      <c r="T118" s="245"/>
      <c r="U118" s="245"/>
      <c r="V118" s="245"/>
      <c r="W118" s="245"/>
    </row>
    <row r="119" spans="2:23" ht="12.75" customHeight="1"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  <c r="L119" s="245"/>
      <c r="M119" s="245"/>
      <c r="N119" s="245"/>
      <c r="O119" s="245"/>
      <c r="P119" s="245"/>
      <c r="Q119" s="245"/>
      <c r="R119" s="245"/>
      <c r="S119" s="245"/>
      <c r="T119" s="245"/>
      <c r="U119" s="245"/>
      <c r="V119" s="245"/>
      <c r="W119" s="245"/>
    </row>
    <row r="120" spans="2:23" ht="12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  <c r="L120" s="245"/>
      <c r="M120" s="245"/>
      <c r="N120" s="245"/>
      <c r="O120" s="245"/>
      <c r="P120" s="245"/>
      <c r="Q120" s="245"/>
      <c r="R120" s="245"/>
      <c r="S120" s="245"/>
      <c r="T120" s="245"/>
      <c r="U120" s="245"/>
      <c r="V120" s="245"/>
      <c r="W120" s="245"/>
    </row>
    <row r="121" spans="2:23" ht="12.75" customHeight="1">
      <c r="B121" s="245"/>
      <c r="C121" s="245"/>
      <c r="D121" s="245"/>
      <c r="E121" s="245"/>
      <c r="F121" s="245"/>
      <c r="G121" s="245"/>
      <c r="H121" s="245"/>
      <c r="I121" s="245"/>
      <c r="J121" s="245"/>
      <c r="K121" s="245"/>
      <c r="L121" s="245"/>
      <c r="M121" s="245"/>
      <c r="N121" s="245"/>
      <c r="O121" s="245"/>
      <c r="P121" s="245"/>
      <c r="Q121" s="245"/>
      <c r="R121" s="245"/>
      <c r="S121" s="245"/>
      <c r="T121" s="245"/>
      <c r="U121" s="245"/>
      <c r="V121" s="245"/>
      <c r="W121" s="245"/>
    </row>
    <row r="122" spans="2:23" ht="12.75" customHeight="1">
      <c r="B122" s="245"/>
      <c r="C122" s="245"/>
      <c r="D122" s="245"/>
      <c r="E122" s="245"/>
      <c r="F122" s="245"/>
      <c r="G122" s="245"/>
      <c r="H122" s="245"/>
      <c r="I122" s="245"/>
      <c r="J122" s="245"/>
      <c r="K122" s="245"/>
      <c r="L122" s="245"/>
      <c r="M122" s="245"/>
      <c r="N122" s="245"/>
      <c r="O122" s="245"/>
      <c r="P122" s="245"/>
      <c r="Q122" s="245"/>
      <c r="R122" s="245"/>
      <c r="S122" s="245"/>
      <c r="T122" s="245"/>
      <c r="U122" s="245"/>
      <c r="V122" s="245"/>
      <c r="W122" s="245"/>
    </row>
    <row r="123" spans="2:23" ht="12.75" customHeight="1">
      <c r="B123" s="245"/>
      <c r="C123" s="245"/>
      <c r="D123" s="245"/>
      <c r="E123" s="245"/>
      <c r="F123" s="245"/>
      <c r="G123" s="245"/>
      <c r="H123" s="245"/>
      <c r="I123" s="245"/>
      <c r="J123" s="245"/>
      <c r="K123" s="245"/>
      <c r="L123" s="245"/>
      <c r="M123" s="245"/>
      <c r="N123" s="245"/>
      <c r="O123" s="245"/>
      <c r="P123" s="245"/>
      <c r="Q123" s="245"/>
      <c r="R123" s="245"/>
      <c r="S123" s="245"/>
      <c r="T123" s="245"/>
      <c r="U123" s="245"/>
      <c r="V123" s="245"/>
      <c r="W123" s="245"/>
    </row>
    <row r="124" spans="2:23" ht="12.75" customHeight="1">
      <c r="B124" s="245"/>
      <c r="C124" s="245"/>
      <c r="D124" s="245"/>
      <c r="E124" s="245"/>
      <c r="F124" s="245"/>
      <c r="G124" s="245"/>
      <c r="H124" s="245"/>
      <c r="I124" s="245"/>
      <c r="J124" s="245"/>
      <c r="K124" s="245"/>
      <c r="L124" s="245"/>
      <c r="M124" s="245"/>
      <c r="N124" s="245"/>
      <c r="O124" s="245"/>
      <c r="P124" s="245"/>
      <c r="Q124" s="245"/>
      <c r="R124" s="245"/>
      <c r="S124" s="245"/>
      <c r="T124" s="245"/>
      <c r="U124" s="245"/>
      <c r="V124" s="245"/>
      <c r="W124" s="245"/>
    </row>
    <row r="125" spans="2:23" ht="12.75" customHeight="1">
      <c r="B125" s="245"/>
      <c r="C125" s="245"/>
      <c r="D125" s="245"/>
      <c r="E125" s="245"/>
      <c r="F125" s="245"/>
      <c r="G125" s="245"/>
      <c r="H125" s="245"/>
      <c r="I125" s="245"/>
      <c r="J125" s="245"/>
      <c r="K125" s="245"/>
      <c r="L125" s="245"/>
      <c r="M125" s="245"/>
      <c r="N125" s="245"/>
      <c r="O125" s="245"/>
      <c r="P125" s="245"/>
      <c r="Q125" s="245"/>
      <c r="R125" s="245"/>
      <c r="S125" s="245"/>
      <c r="T125" s="245"/>
      <c r="U125" s="245"/>
      <c r="V125" s="245"/>
      <c r="W125" s="245"/>
    </row>
    <row r="126" spans="2:23" ht="12.75" customHeight="1">
      <c r="B126" s="245"/>
      <c r="C126" s="245"/>
      <c r="D126" s="245"/>
      <c r="E126" s="245"/>
      <c r="F126" s="245"/>
      <c r="G126" s="245"/>
      <c r="H126" s="245"/>
      <c r="I126" s="245"/>
      <c r="J126" s="245"/>
      <c r="K126" s="245"/>
      <c r="L126" s="245"/>
      <c r="M126" s="245"/>
      <c r="N126" s="245"/>
      <c r="O126" s="245"/>
      <c r="P126" s="245"/>
      <c r="Q126" s="245"/>
      <c r="R126" s="245"/>
      <c r="S126" s="245"/>
      <c r="T126" s="245"/>
      <c r="U126" s="245"/>
      <c r="V126" s="245"/>
      <c r="W126" s="245"/>
    </row>
    <row r="127" spans="2:23" ht="12.75" customHeight="1">
      <c r="B127" s="245"/>
      <c r="C127" s="245"/>
      <c r="D127" s="245"/>
      <c r="E127" s="245"/>
      <c r="F127" s="245"/>
      <c r="G127" s="245"/>
      <c r="H127" s="245"/>
      <c r="I127" s="245"/>
      <c r="J127" s="245"/>
      <c r="K127" s="245"/>
      <c r="L127" s="245"/>
      <c r="M127" s="245"/>
      <c r="N127" s="245"/>
      <c r="O127" s="245"/>
      <c r="P127" s="245"/>
      <c r="Q127" s="245"/>
      <c r="R127" s="245"/>
      <c r="S127" s="245"/>
      <c r="T127" s="245"/>
      <c r="U127" s="245"/>
      <c r="V127" s="245"/>
      <c r="W127" s="245"/>
    </row>
    <row r="128" spans="2:23" ht="12.75" customHeight="1">
      <c r="B128" s="245"/>
      <c r="C128" s="245"/>
      <c r="D128" s="245"/>
      <c r="E128" s="245"/>
      <c r="F128" s="245"/>
      <c r="G128" s="245"/>
      <c r="H128" s="245"/>
      <c r="I128" s="245"/>
      <c r="J128" s="245"/>
      <c r="K128" s="245"/>
      <c r="L128" s="245"/>
      <c r="M128" s="245"/>
      <c r="N128" s="245"/>
      <c r="O128" s="245"/>
      <c r="P128" s="245"/>
      <c r="Q128" s="245"/>
      <c r="R128" s="245"/>
      <c r="S128" s="245"/>
      <c r="T128" s="245"/>
      <c r="U128" s="245"/>
      <c r="V128" s="245"/>
      <c r="W128" s="245"/>
    </row>
    <row r="129" spans="2:23" ht="12.75" customHeight="1">
      <c r="B129" s="245"/>
      <c r="C129" s="245"/>
      <c r="D129" s="245"/>
      <c r="E129" s="245"/>
      <c r="F129" s="245"/>
      <c r="G129" s="245"/>
      <c r="H129" s="245"/>
      <c r="I129" s="245"/>
      <c r="J129" s="245"/>
      <c r="K129" s="245"/>
      <c r="L129" s="245"/>
      <c r="M129" s="245"/>
      <c r="N129" s="245"/>
      <c r="O129" s="245"/>
      <c r="P129" s="245"/>
      <c r="Q129" s="245"/>
      <c r="R129" s="245"/>
      <c r="S129" s="245"/>
      <c r="T129" s="245"/>
      <c r="U129" s="245"/>
      <c r="V129" s="245"/>
      <c r="W129" s="245"/>
    </row>
    <row r="130" spans="2:23" ht="12.75" customHeight="1">
      <c r="B130" s="245"/>
      <c r="C130" s="245"/>
      <c r="D130" s="245"/>
      <c r="E130" s="245"/>
      <c r="F130" s="245"/>
      <c r="G130" s="245"/>
      <c r="H130" s="245"/>
      <c r="I130" s="245"/>
      <c r="J130" s="245"/>
      <c r="K130" s="245"/>
      <c r="L130" s="245"/>
      <c r="M130" s="245"/>
      <c r="N130" s="245"/>
      <c r="O130" s="245"/>
      <c r="P130" s="245"/>
      <c r="Q130" s="245"/>
      <c r="R130" s="245"/>
      <c r="S130" s="245"/>
      <c r="T130" s="245"/>
      <c r="U130" s="245"/>
      <c r="V130" s="245"/>
      <c r="W130" s="245"/>
    </row>
    <row r="131" spans="2:23" ht="12.75" customHeight="1">
      <c r="B131" s="245"/>
      <c r="C131" s="245"/>
      <c r="D131" s="245"/>
      <c r="E131" s="245"/>
      <c r="F131" s="245"/>
      <c r="G131" s="245"/>
      <c r="H131" s="245"/>
      <c r="I131" s="245"/>
      <c r="J131" s="245"/>
      <c r="K131" s="245"/>
      <c r="L131" s="245"/>
      <c r="M131" s="245"/>
      <c r="N131" s="245"/>
      <c r="O131" s="245"/>
      <c r="P131" s="245"/>
      <c r="Q131" s="245"/>
      <c r="R131" s="245"/>
      <c r="S131" s="245"/>
      <c r="T131" s="245"/>
      <c r="U131" s="245"/>
      <c r="V131" s="245"/>
      <c r="W131" s="245"/>
    </row>
    <row r="132" spans="2:23" ht="12.75" customHeight="1">
      <c r="B132" s="245"/>
      <c r="C132" s="245"/>
      <c r="D132" s="245"/>
      <c r="E132" s="245"/>
      <c r="F132" s="245"/>
      <c r="G132" s="245"/>
      <c r="H132" s="245"/>
      <c r="I132" s="245"/>
      <c r="J132" s="245"/>
      <c r="K132" s="245"/>
      <c r="L132" s="245"/>
      <c r="M132" s="245"/>
      <c r="N132" s="245"/>
      <c r="O132" s="245"/>
      <c r="P132" s="245"/>
      <c r="Q132" s="245"/>
      <c r="R132" s="245"/>
      <c r="S132" s="245"/>
      <c r="T132" s="245"/>
      <c r="U132" s="245"/>
      <c r="V132" s="245"/>
      <c r="W132" s="245"/>
    </row>
    <row r="133" spans="2:23" ht="12.75" customHeight="1">
      <c r="B133" s="245"/>
      <c r="C133" s="245"/>
      <c r="D133" s="245"/>
      <c r="E133" s="245"/>
      <c r="F133" s="245"/>
      <c r="G133" s="245"/>
      <c r="H133" s="245"/>
      <c r="I133" s="245"/>
      <c r="J133" s="245"/>
      <c r="K133" s="245"/>
      <c r="L133" s="245"/>
      <c r="M133" s="245"/>
      <c r="N133" s="245"/>
      <c r="O133" s="245"/>
      <c r="P133" s="245"/>
      <c r="Q133" s="245"/>
      <c r="R133" s="245"/>
      <c r="S133" s="245"/>
      <c r="T133" s="245"/>
      <c r="U133" s="245"/>
      <c r="V133" s="245"/>
      <c r="W133" s="245"/>
    </row>
    <row r="134" spans="2:23" ht="12.75" customHeight="1">
      <c r="B134" s="245"/>
      <c r="C134" s="245"/>
      <c r="D134" s="245"/>
      <c r="E134" s="245"/>
      <c r="F134" s="245"/>
      <c r="G134" s="245"/>
      <c r="H134" s="245"/>
      <c r="I134" s="245"/>
      <c r="J134" s="245"/>
      <c r="K134" s="245"/>
      <c r="L134" s="245"/>
      <c r="M134" s="245"/>
      <c r="N134" s="245"/>
      <c r="O134" s="245"/>
      <c r="P134" s="245"/>
      <c r="Q134" s="245"/>
      <c r="R134" s="245"/>
      <c r="S134" s="245"/>
      <c r="T134" s="245"/>
      <c r="U134" s="245"/>
      <c r="V134" s="245"/>
      <c r="W134" s="245"/>
    </row>
    <row r="135" spans="2:23" ht="12.75" customHeight="1">
      <c r="B135" s="245"/>
      <c r="C135" s="245"/>
      <c r="D135" s="245"/>
      <c r="E135" s="245"/>
      <c r="F135" s="245"/>
      <c r="G135" s="245"/>
      <c r="H135" s="245"/>
      <c r="I135" s="245"/>
      <c r="J135" s="245"/>
      <c r="K135" s="245"/>
      <c r="L135" s="245"/>
      <c r="M135" s="245"/>
      <c r="N135" s="245"/>
      <c r="O135" s="245"/>
      <c r="P135" s="245"/>
      <c r="Q135" s="245"/>
      <c r="R135" s="245"/>
      <c r="S135" s="245"/>
      <c r="T135" s="245"/>
      <c r="U135" s="245"/>
      <c r="V135" s="245"/>
      <c r="W135" s="245"/>
    </row>
    <row r="136" spans="2:23" ht="12.75" customHeight="1">
      <c r="B136" s="245"/>
      <c r="C136" s="245"/>
      <c r="D136" s="245"/>
      <c r="E136" s="245"/>
      <c r="F136" s="245"/>
      <c r="G136" s="245"/>
      <c r="H136" s="245"/>
      <c r="I136" s="245"/>
      <c r="J136" s="245"/>
      <c r="K136" s="245"/>
      <c r="L136" s="245"/>
      <c r="M136" s="245"/>
      <c r="N136" s="245"/>
      <c r="O136" s="245"/>
      <c r="P136" s="245"/>
      <c r="Q136" s="245"/>
      <c r="R136" s="245"/>
      <c r="S136" s="245"/>
      <c r="T136" s="245"/>
      <c r="U136" s="245"/>
      <c r="V136" s="245"/>
      <c r="W136" s="245"/>
    </row>
    <row r="137" spans="2:23" ht="12.75" customHeight="1">
      <c r="B137" s="245"/>
      <c r="C137" s="245"/>
      <c r="D137" s="245"/>
      <c r="E137" s="245"/>
      <c r="F137" s="245"/>
      <c r="G137" s="245"/>
      <c r="H137" s="245"/>
      <c r="I137" s="245"/>
      <c r="J137" s="245"/>
      <c r="K137" s="245"/>
      <c r="L137" s="245"/>
      <c r="M137" s="245"/>
      <c r="N137" s="245"/>
      <c r="O137" s="245"/>
      <c r="P137" s="245"/>
      <c r="Q137" s="245"/>
      <c r="R137" s="245"/>
      <c r="S137" s="245"/>
      <c r="T137" s="245"/>
      <c r="U137" s="245"/>
      <c r="V137" s="245"/>
      <c r="W137" s="245"/>
    </row>
    <row r="138" spans="2:23" ht="12.75" customHeight="1">
      <c r="B138" s="245"/>
      <c r="C138" s="245"/>
      <c r="D138" s="245"/>
      <c r="E138" s="245"/>
      <c r="F138" s="245"/>
      <c r="G138" s="245"/>
      <c r="H138" s="245"/>
      <c r="I138" s="245"/>
      <c r="J138" s="245"/>
      <c r="K138" s="245"/>
      <c r="L138" s="245"/>
      <c r="M138" s="245"/>
      <c r="N138" s="245"/>
      <c r="O138" s="245"/>
      <c r="P138" s="245"/>
      <c r="Q138" s="245"/>
      <c r="R138" s="245"/>
      <c r="S138" s="245"/>
      <c r="T138" s="245"/>
      <c r="U138" s="245"/>
      <c r="V138" s="245"/>
      <c r="W138" s="245"/>
    </row>
    <row r="139" spans="2:23" ht="12.75" customHeight="1">
      <c r="B139" s="245"/>
      <c r="C139" s="245"/>
      <c r="D139" s="245"/>
      <c r="E139" s="245"/>
      <c r="F139" s="245"/>
      <c r="G139" s="245"/>
      <c r="H139" s="245"/>
      <c r="I139" s="245"/>
      <c r="J139" s="245"/>
      <c r="K139" s="245"/>
      <c r="L139" s="245"/>
      <c r="M139" s="245"/>
      <c r="N139" s="245"/>
      <c r="O139" s="245"/>
      <c r="P139" s="245"/>
      <c r="Q139" s="245"/>
      <c r="R139" s="245"/>
      <c r="S139" s="245"/>
      <c r="T139" s="245"/>
      <c r="U139" s="245"/>
      <c r="V139" s="245"/>
      <c r="W139" s="245"/>
    </row>
    <row r="140" spans="2:23" ht="12.75" customHeight="1">
      <c r="B140" s="245"/>
      <c r="C140" s="245"/>
      <c r="D140" s="245"/>
      <c r="E140" s="245"/>
      <c r="F140" s="245"/>
      <c r="G140" s="245"/>
      <c r="H140" s="245"/>
      <c r="I140" s="245"/>
      <c r="J140" s="245"/>
      <c r="K140" s="245"/>
      <c r="L140" s="245"/>
      <c r="M140" s="245"/>
      <c r="N140" s="245"/>
      <c r="O140" s="245"/>
      <c r="P140" s="245"/>
      <c r="Q140" s="245"/>
      <c r="R140" s="245"/>
      <c r="S140" s="245"/>
      <c r="T140" s="245"/>
      <c r="U140" s="245"/>
      <c r="V140" s="245"/>
      <c r="W140" s="245"/>
    </row>
    <row r="141" spans="2:23" ht="12.75" customHeight="1">
      <c r="B141" s="245"/>
      <c r="C141" s="245"/>
      <c r="D141" s="245"/>
      <c r="E141" s="245"/>
      <c r="F141" s="245"/>
      <c r="G141" s="245"/>
      <c r="H141" s="245"/>
      <c r="I141" s="245"/>
      <c r="J141" s="245"/>
      <c r="K141" s="245"/>
      <c r="L141" s="245"/>
      <c r="M141" s="245"/>
      <c r="N141" s="245"/>
      <c r="O141" s="245"/>
      <c r="P141" s="245"/>
      <c r="Q141" s="245"/>
      <c r="R141" s="245"/>
      <c r="S141" s="245"/>
      <c r="T141" s="245"/>
      <c r="U141" s="245"/>
      <c r="V141" s="245"/>
      <c r="W141" s="245"/>
    </row>
    <row r="142" spans="2:23" ht="12.75" customHeight="1">
      <c r="B142" s="245"/>
      <c r="C142" s="245"/>
      <c r="D142" s="245"/>
      <c r="E142" s="245"/>
      <c r="F142" s="245"/>
      <c r="G142" s="245"/>
      <c r="H142" s="245"/>
      <c r="I142" s="245"/>
      <c r="J142" s="245"/>
      <c r="K142" s="245"/>
      <c r="L142" s="245"/>
      <c r="M142" s="245"/>
      <c r="N142" s="245"/>
      <c r="O142" s="245"/>
      <c r="P142" s="245"/>
      <c r="Q142" s="245"/>
      <c r="R142" s="245"/>
      <c r="S142" s="245"/>
      <c r="T142" s="245"/>
      <c r="U142" s="245"/>
      <c r="V142" s="245"/>
      <c r="W142" s="245"/>
    </row>
    <row r="143" spans="2:23" ht="12.75" customHeight="1">
      <c r="B143" s="245"/>
      <c r="C143" s="245"/>
      <c r="D143" s="245"/>
      <c r="E143" s="245"/>
      <c r="F143" s="245"/>
      <c r="G143" s="245"/>
      <c r="H143" s="245"/>
      <c r="I143" s="245"/>
      <c r="J143" s="245"/>
      <c r="K143" s="245"/>
      <c r="L143" s="245"/>
      <c r="M143" s="245"/>
      <c r="N143" s="245"/>
      <c r="O143" s="245"/>
      <c r="P143" s="245"/>
      <c r="Q143" s="245"/>
      <c r="R143" s="245"/>
      <c r="S143" s="245"/>
      <c r="T143" s="245"/>
      <c r="U143" s="245"/>
      <c r="V143" s="245"/>
      <c r="W143" s="245"/>
    </row>
    <row r="144" spans="2:23" ht="12.75" customHeight="1">
      <c r="B144" s="245"/>
      <c r="C144" s="245"/>
      <c r="D144" s="245"/>
      <c r="E144" s="245"/>
      <c r="F144" s="245"/>
      <c r="G144" s="245"/>
      <c r="H144" s="245"/>
      <c r="I144" s="245"/>
      <c r="J144" s="245"/>
      <c r="K144" s="245"/>
      <c r="L144" s="245"/>
      <c r="M144" s="245"/>
      <c r="N144" s="245"/>
      <c r="O144" s="245"/>
      <c r="P144" s="245"/>
      <c r="Q144" s="245"/>
      <c r="R144" s="245"/>
      <c r="S144" s="245"/>
      <c r="T144" s="245"/>
      <c r="U144" s="245"/>
      <c r="V144" s="245"/>
      <c r="W144" s="245"/>
    </row>
    <row r="145" spans="2:23" ht="12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  <c r="L145" s="245"/>
      <c r="M145" s="245"/>
      <c r="N145" s="245"/>
      <c r="O145" s="245"/>
      <c r="P145" s="245"/>
      <c r="Q145" s="245"/>
      <c r="R145" s="245"/>
      <c r="S145" s="245"/>
      <c r="T145" s="245"/>
      <c r="U145" s="245"/>
      <c r="V145" s="245"/>
      <c r="W145" s="245"/>
    </row>
    <row r="146" spans="2:23" ht="12.75" customHeight="1">
      <c r="B146" s="245"/>
      <c r="C146" s="245"/>
      <c r="D146" s="245"/>
      <c r="E146" s="245"/>
      <c r="F146" s="245"/>
      <c r="G146" s="245"/>
      <c r="H146" s="245"/>
      <c r="I146" s="245"/>
      <c r="J146" s="245"/>
      <c r="K146" s="245"/>
      <c r="L146" s="245"/>
      <c r="M146" s="245"/>
      <c r="N146" s="245"/>
      <c r="O146" s="245"/>
      <c r="P146" s="245"/>
      <c r="Q146" s="245"/>
      <c r="R146" s="245"/>
      <c r="S146" s="245"/>
      <c r="T146" s="245"/>
      <c r="U146" s="245"/>
      <c r="V146" s="245"/>
      <c r="W146" s="245"/>
    </row>
    <row r="147" spans="2:23" ht="12.75" customHeight="1">
      <c r="B147" s="245"/>
      <c r="C147" s="245"/>
      <c r="D147" s="245"/>
      <c r="E147" s="245"/>
      <c r="F147" s="245"/>
      <c r="G147" s="245"/>
      <c r="H147" s="245"/>
      <c r="I147" s="245"/>
      <c r="J147" s="245"/>
      <c r="K147" s="245"/>
      <c r="L147" s="245"/>
      <c r="M147" s="245"/>
      <c r="N147" s="245"/>
      <c r="O147" s="245"/>
      <c r="P147" s="245"/>
      <c r="Q147" s="245"/>
      <c r="R147" s="245"/>
      <c r="S147" s="245"/>
      <c r="T147" s="245"/>
      <c r="U147" s="245"/>
      <c r="V147" s="245"/>
      <c r="W147" s="245"/>
    </row>
    <row r="148" spans="2:23" ht="12.75" customHeight="1">
      <c r="B148" s="245"/>
      <c r="C148" s="245"/>
      <c r="D148" s="245"/>
      <c r="E148" s="245"/>
      <c r="F148" s="245"/>
      <c r="G148" s="245"/>
      <c r="H148" s="245"/>
      <c r="I148" s="245"/>
      <c r="J148" s="245"/>
      <c r="K148" s="245"/>
      <c r="L148" s="245"/>
      <c r="M148" s="245"/>
      <c r="N148" s="245"/>
      <c r="O148" s="245"/>
      <c r="P148" s="245"/>
      <c r="Q148" s="245"/>
      <c r="R148" s="245"/>
      <c r="S148" s="245"/>
      <c r="T148" s="245"/>
      <c r="U148" s="245"/>
      <c r="V148" s="245"/>
      <c r="W148" s="245"/>
    </row>
    <row r="149" spans="2:23" ht="12.75" customHeight="1">
      <c r="B149" s="245"/>
      <c r="C149" s="245"/>
      <c r="D149" s="245"/>
      <c r="E149" s="245"/>
      <c r="F149" s="245"/>
      <c r="G149" s="245"/>
      <c r="H149" s="245"/>
      <c r="I149" s="245"/>
      <c r="J149" s="245"/>
      <c r="K149" s="245"/>
      <c r="L149" s="245"/>
      <c r="M149" s="245"/>
      <c r="N149" s="245"/>
      <c r="O149" s="245"/>
      <c r="P149" s="245"/>
      <c r="Q149" s="245"/>
      <c r="R149" s="245"/>
      <c r="S149" s="245"/>
      <c r="T149" s="245"/>
      <c r="U149" s="245"/>
      <c r="V149" s="245"/>
      <c r="W149" s="245"/>
    </row>
    <row r="150" spans="2:23" ht="12.75" customHeight="1">
      <c r="B150" s="245"/>
      <c r="C150" s="245"/>
      <c r="D150" s="245"/>
      <c r="E150" s="245"/>
      <c r="F150" s="245"/>
      <c r="G150" s="245"/>
      <c r="H150" s="245"/>
      <c r="I150" s="245"/>
      <c r="J150" s="245"/>
      <c r="K150" s="245"/>
      <c r="L150" s="245"/>
      <c r="M150" s="245"/>
      <c r="N150" s="245"/>
      <c r="O150" s="245"/>
      <c r="P150" s="245"/>
      <c r="Q150" s="245"/>
      <c r="R150" s="245"/>
      <c r="S150" s="245"/>
      <c r="T150" s="245"/>
      <c r="U150" s="245"/>
      <c r="V150" s="245"/>
      <c r="W150" s="245"/>
    </row>
    <row r="151" spans="2:23" ht="12.75" customHeight="1">
      <c r="B151" s="245"/>
      <c r="C151" s="245"/>
      <c r="D151" s="245"/>
      <c r="E151" s="245"/>
      <c r="F151" s="245"/>
      <c r="G151" s="245"/>
      <c r="H151" s="245"/>
      <c r="I151" s="245"/>
      <c r="J151" s="245"/>
      <c r="K151" s="245"/>
      <c r="L151" s="245"/>
      <c r="M151" s="245"/>
      <c r="N151" s="245"/>
      <c r="O151" s="245"/>
      <c r="P151" s="245"/>
      <c r="Q151" s="245"/>
      <c r="R151" s="245"/>
      <c r="S151" s="245"/>
      <c r="T151" s="245"/>
      <c r="U151" s="245"/>
      <c r="V151" s="245"/>
      <c r="W151" s="245"/>
    </row>
    <row r="152" spans="2:23" ht="12.75" customHeight="1">
      <c r="B152" s="245"/>
      <c r="C152" s="245"/>
      <c r="D152" s="245"/>
      <c r="E152" s="245"/>
      <c r="F152" s="245"/>
      <c r="G152" s="245"/>
      <c r="H152" s="245"/>
      <c r="I152" s="245"/>
      <c r="J152" s="245"/>
      <c r="K152" s="245"/>
      <c r="L152" s="245"/>
      <c r="M152" s="245"/>
      <c r="N152" s="245"/>
      <c r="O152" s="245"/>
      <c r="P152" s="245"/>
      <c r="Q152" s="245"/>
      <c r="R152" s="245"/>
      <c r="S152" s="245"/>
      <c r="T152" s="245"/>
      <c r="U152" s="245"/>
      <c r="V152" s="245"/>
      <c r="W152" s="245"/>
    </row>
    <row r="153" spans="2:23" ht="12.75" customHeight="1">
      <c r="B153" s="245"/>
      <c r="C153" s="245"/>
      <c r="D153" s="245"/>
      <c r="E153" s="245"/>
      <c r="F153" s="245"/>
      <c r="G153" s="245"/>
      <c r="H153" s="245"/>
      <c r="I153" s="245"/>
      <c r="J153" s="245"/>
      <c r="K153" s="245"/>
      <c r="L153" s="245"/>
      <c r="M153" s="245"/>
      <c r="N153" s="245"/>
      <c r="O153" s="245"/>
      <c r="P153" s="245"/>
      <c r="Q153" s="245"/>
      <c r="R153" s="245"/>
      <c r="S153" s="245"/>
      <c r="T153" s="245"/>
      <c r="U153" s="245"/>
      <c r="V153" s="245"/>
      <c r="W153" s="245"/>
    </row>
    <row r="154" spans="2:23" ht="12.75" customHeight="1">
      <c r="B154" s="245"/>
      <c r="C154" s="245"/>
      <c r="D154" s="245"/>
      <c r="E154" s="245"/>
      <c r="F154" s="245"/>
      <c r="G154" s="245"/>
      <c r="H154" s="245"/>
      <c r="I154" s="245"/>
      <c r="J154" s="245"/>
      <c r="K154" s="245"/>
      <c r="L154" s="245"/>
      <c r="M154" s="245"/>
      <c r="N154" s="245"/>
      <c r="O154" s="245"/>
      <c r="P154" s="245"/>
      <c r="Q154" s="245"/>
      <c r="R154" s="245"/>
      <c r="S154" s="245"/>
      <c r="T154" s="245"/>
      <c r="U154" s="245"/>
      <c r="V154" s="245"/>
      <c r="W154" s="245"/>
    </row>
    <row r="155" spans="2:23" ht="12.75" customHeight="1">
      <c r="B155" s="245"/>
      <c r="C155" s="245"/>
      <c r="D155" s="245"/>
      <c r="E155" s="245"/>
      <c r="F155" s="245"/>
      <c r="G155" s="245"/>
      <c r="H155" s="245"/>
      <c r="I155" s="245"/>
      <c r="J155" s="245"/>
      <c r="K155" s="245"/>
      <c r="L155" s="245"/>
      <c r="M155" s="245"/>
      <c r="N155" s="245"/>
      <c r="O155" s="245"/>
      <c r="P155" s="245"/>
      <c r="Q155" s="245"/>
      <c r="R155" s="245"/>
      <c r="S155" s="245"/>
      <c r="T155" s="245"/>
      <c r="U155" s="245"/>
      <c r="V155" s="245"/>
      <c r="W155" s="245"/>
    </row>
    <row r="156" spans="2:23" ht="12.75" customHeight="1">
      <c r="B156" s="245"/>
      <c r="C156" s="245"/>
      <c r="D156" s="245"/>
      <c r="E156" s="245"/>
      <c r="F156" s="245"/>
      <c r="G156" s="245"/>
      <c r="H156" s="245"/>
      <c r="I156" s="245"/>
      <c r="J156" s="245"/>
      <c r="K156" s="245"/>
      <c r="L156" s="245"/>
      <c r="M156" s="245"/>
      <c r="N156" s="245"/>
      <c r="O156" s="245"/>
      <c r="P156" s="245"/>
      <c r="Q156" s="245"/>
      <c r="R156" s="245"/>
      <c r="S156" s="245"/>
      <c r="T156" s="245"/>
      <c r="U156" s="245"/>
      <c r="V156" s="245"/>
      <c r="W156" s="245"/>
    </row>
    <row r="157" spans="2:23" ht="12.75" customHeight="1">
      <c r="B157" s="245"/>
      <c r="C157" s="245"/>
      <c r="D157" s="245"/>
      <c r="E157" s="245"/>
      <c r="F157" s="245"/>
      <c r="G157" s="245"/>
      <c r="H157" s="245"/>
      <c r="I157" s="245"/>
      <c r="J157" s="245"/>
      <c r="K157" s="245"/>
      <c r="L157" s="245"/>
      <c r="M157" s="245"/>
      <c r="N157" s="245"/>
      <c r="O157" s="245"/>
      <c r="P157" s="245"/>
      <c r="Q157" s="245"/>
      <c r="R157" s="245"/>
      <c r="S157" s="245"/>
      <c r="T157" s="245"/>
      <c r="U157" s="245"/>
      <c r="V157" s="245"/>
      <c r="W157" s="245"/>
    </row>
    <row r="158" spans="2:23" ht="12.75" customHeight="1">
      <c r="B158" s="245"/>
      <c r="C158" s="245"/>
      <c r="D158" s="245"/>
      <c r="E158" s="245"/>
      <c r="F158" s="245"/>
      <c r="G158" s="245"/>
      <c r="H158" s="245"/>
      <c r="I158" s="245"/>
      <c r="J158" s="245"/>
      <c r="K158" s="245"/>
      <c r="L158" s="245"/>
      <c r="M158" s="245"/>
      <c r="N158" s="245"/>
      <c r="O158" s="245"/>
      <c r="P158" s="245"/>
      <c r="Q158" s="245"/>
      <c r="R158" s="245"/>
      <c r="S158" s="245"/>
      <c r="T158" s="245"/>
      <c r="U158" s="245"/>
      <c r="V158" s="245"/>
      <c r="W158" s="245"/>
    </row>
    <row r="159" spans="2:23" ht="12.75" customHeight="1">
      <c r="B159" s="245"/>
      <c r="C159" s="245"/>
      <c r="D159" s="245"/>
      <c r="E159" s="245"/>
      <c r="F159" s="245"/>
      <c r="G159" s="245"/>
      <c r="H159" s="245"/>
      <c r="I159" s="245"/>
      <c r="J159" s="245"/>
      <c r="K159" s="245"/>
      <c r="L159" s="245"/>
      <c r="M159" s="245"/>
      <c r="N159" s="245"/>
      <c r="O159" s="245"/>
      <c r="P159" s="245"/>
      <c r="Q159" s="245"/>
      <c r="R159" s="245"/>
      <c r="S159" s="245"/>
      <c r="T159" s="245"/>
      <c r="U159" s="245"/>
      <c r="V159" s="245"/>
      <c r="W159" s="245"/>
    </row>
    <row r="160" spans="2:23" ht="12.75" customHeight="1">
      <c r="B160" s="245"/>
      <c r="C160" s="245"/>
      <c r="D160" s="245"/>
      <c r="E160" s="245"/>
      <c r="F160" s="245"/>
      <c r="G160" s="245"/>
      <c r="H160" s="245"/>
      <c r="I160" s="245"/>
      <c r="J160" s="245"/>
      <c r="K160" s="245"/>
      <c r="L160" s="245"/>
      <c r="M160" s="245"/>
      <c r="N160" s="245"/>
      <c r="O160" s="245"/>
      <c r="P160" s="245"/>
      <c r="Q160" s="245"/>
      <c r="R160" s="245"/>
      <c r="S160" s="245"/>
      <c r="T160" s="245"/>
      <c r="U160" s="245"/>
      <c r="V160" s="245"/>
      <c r="W160" s="245"/>
    </row>
    <row r="161" spans="2:23" ht="12.75" customHeight="1">
      <c r="B161" s="245"/>
      <c r="C161" s="245"/>
      <c r="D161" s="245"/>
      <c r="E161" s="245"/>
      <c r="F161" s="245"/>
      <c r="G161" s="245"/>
      <c r="H161" s="245"/>
      <c r="I161" s="245"/>
      <c r="J161" s="245"/>
      <c r="K161" s="245"/>
      <c r="L161" s="245"/>
      <c r="M161" s="245"/>
      <c r="N161" s="245"/>
      <c r="O161" s="245"/>
      <c r="P161" s="245"/>
      <c r="Q161" s="245"/>
      <c r="R161" s="245"/>
      <c r="S161" s="245"/>
      <c r="T161" s="245"/>
      <c r="U161" s="245"/>
      <c r="V161" s="245"/>
      <c r="W161" s="245"/>
    </row>
    <row r="162" spans="2:23" ht="12.75" customHeight="1">
      <c r="B162" s="245"/>
      <c r="C162" s="245"/>
      <c r="D162" s="245"/>
      <c r="E162" s="245"/>
      <c r="F162" s="245"/>
      <c r="G162" s="245"/>
      <c r="H162" s="245"/>
      <c r="I162" s="245"/>
      <c r="J162" s="245"/>
      <c r="K162" s="245"/>
      <c r="L162" s="245"/>
      <c r="M162" s="245"/>
      <c r="N162" s="245"/>
      <c r="O162" s="245"/>
      <c r="P162" s="245"/>
      <c r="Q162" s="245"/>
      <c r="R162" s="245"/>
      <c r="S162" s="245"/>
      <c r="T162" s="245"/>
      <c r="U162" s="245"/>
      <c r="V162" s="245"/>
      <c r="W162" s="245"/>
    </row>
    <row r="163" spans="2:23" ht="12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  <c r="L163" s="245"/>
      <c r="M163" s="245"/>
      <c r="N163" s="245"/>
      <c r="O163" s="245"/>
      <c r="P163" s="245"/>
      <c r="Q163" s="245"/>
      <c r="R163" s="245"/>
      <c r="S163" s="245"/>
      <c r="T163" s="245"/>
      <c r="U163" s="245"/>
      <c r="V163" s="245"/>
      <c r="W163" s="245"/>
    </row>
    <row r="164" spans="2:23" ht="12.75" customHeight="1">
      <c r="B164" s="245"/>
      <c r="C164" s="245"/>
      <c r="D164" s="245"/>
      <c r="E164" s="245"/>
      <c r="F164" s="245"/>
      <c r="G164" s="245"/>
      <c r="H164" s="245"/>
      <c r="I164" s="245"/>
      <c r="J164" s="245"/>
      <c r="K164" s="245"/>
      <c r="L164" s="245"/>
      <c r="M164" s="245"/>
      <c r="N164" s="245"/>
      <c r="O164" s="245"/>
      <c r="P164" s="245"/>
      <c r="Q164" s="245"/>
      <c r="R164" s="245"/>
      <c r="S164" s="245"/>
      <c r="T164" s="245"/>
      <c r="U164" s="245"/>
      <c r="V164" s="245"/>
      <c r="W164" s="245"/>
    </row>
    <row r="165" spans="2:23" ht="12.75" customHeight="1">
      <c r="B165" s="245"/>
      <c r="C165" s="245"/>
      <c r="D165" s="245"/>
      <c r="E165" s="245"/>
      <c r="F165" s="245"/>
      <c r="G165" s="245"/>
      <c r="H165" s="245"/>
      <c r="I165" s="245"/>
      <c r="J165" s="245"/>
      <c r="K165" s="245"/>
      <c r="L165" s="245"/>
      <c r="M165" s="245"/>
      <c r="N165" s="245"/>
      <c r="O165" s="245"/>
      <c r="P165" s="245"/>
      <c r="Q165" s="245"/>
      <c r="R165" s="245"/>
      <c r="S165" s="245"/>
      <c r="T165" s="245"/>
      <c r="U165" s="245"/>
      <c r="V165" s="245"/>
      <c r="W165" s="245"/>
    </row>
    <row r="166" spans="2:23" ht="12.75" customHeight="1">
      <c r="B166" s="245"/>
      <c r="C166" s="245"/>
      <c r="D166" s="245"/>
      <c r="E166" s="245"/>
      <c r="F166" s="245"/>
      <c r="G166" s="245"/>
      <c r="H166" s="245"/>
      <c r="I166" s="245"/>
      <c r="J166" s="245"/>
      <c r="K166" s="245"/>
      <c r="L166" s="245"/>
      <c r="M166" s="245"/>
      <c r="N166" s="245"/>
      <c r="O166" s="245"/>
      <c r="P166" s="245"/>
      <c r="Q166" s="245"/>
      <c r="R166" s="245"/>
      <c r="S166" s="245"/>
      <c r="T166" s="245"/>
      <c r="U166" s="245"/>
      <c r="V166" s="245"/>
      <c r="W166" s="245"/>
    </row>
    <row r="167" spans="2:23" ht="12.75" customHeight="1">
      <c r="B167" s="245"/>
      <c r="C167" s="245"/>
      <c r="D167" s="245"/>
      <c r="E167" s="245"/>
      <c r="F167" s="245"/>
      <c r="G167" s="245"/>
      <c r="H167" s="245"/>
      <c r="I167" s="245"/>
      <c r="J167" s="245"/>
      <c r="K167" s="245"/>
      <c r="L167" s="245"/>
      <c r="M167" s="245"/>
      <c r="N167" s="245"/>
      <c r="O167" s="245"/>
      <c r="P167" s="245"/>
      <c r="Q167" s="245"/>
      <c r="R167" s="245"/>
      <c r="S167" s="245"/>
      <c r="T167" s="245"/>
      <c r="U167" s="245"/>
      <c r="V167" s="245"/>
      <c r="W167" s="245"/>
    </row>
    <row r="168" spans="2:23" ht="12.75" customHeight="1">
      <c r="B168" s="245"/>
      <c r="C168" s="245"/>
      <c r="D168" s="245"/>
      <c r="E168" s="245"/>
      <c r="F168" s="245"/>
      <c r="G168" s="245"/>
      <c r="H168" s="245"/>
      <c r="I168" s="245"/>
      <c r="J168" s="245"/>
      <c r="K168" s="245"/>
      <c r="L168" s="245"/>
      <c r="M168" s="245"/>
      <c r="N168" s="245"/>
      <c r="O168" s="245"/>
      <c r="P168" s="245"/>
      <c r="Q168" s="245"/>
      <c r="R168" s="245"/>
      <c r="S168" s="245"/>
      <c r="T168" s="245"/>
      <c r="U168" s="245"/>
      <c r="V168" s="245"/>
      <c r="W168" s="245"/>
    </row>
    <row r="169" spans="2:23" ht="12.75" customHeight="1">
      <c r="B169" s="245"/>
      <c r="C169" s="245"/>
      <c r="D169" s="245"/>
      <c r="E169" s="245"/>
      <c r="F169" s="245"/>
      <c r="G169" s="245"/>
      <c r="H169" s="245"/>
      <c r="I169" s="245"/>
      <c r="J169" s="245"/>
      <c r="K169" s="245"/>
      <c r="L169" s="245"/>
      <c r="M169" s="245"/>
      <c r="N169" s="245"/>
      <c r="O169" s="245"/>
      <c r="P169" s="245"/>
      <c r="Q169" s="245"/>
      <c r="R169" s="245"/>
      <c r="S169" s="245"/>
      <c r="T169" s="245"/>
      <c r="U169" s="245"/>
      <c r="V169" s="245"/>
      <c r="W169" s="245"/>
    </row>
    <row r="170" spans="2:23" ht="12.75" customHeight="1">
      <c r="B170" s="245"/>
      <c r="C170" s="245"/>
      <c r="D170" s="245"/>
      <c r="E170" s="245"/>
      <c r="F170" s="245"/>
      <c r="G170" s="245"/>
      <c r="H170" s="245"/>
      <c r="I170" s="245"/>
      <c r="J170" s="245"/>
      <c r="K170" s="245"/>
      <c r="L170" s="245"/>
      <c r="M170" s="245"/>
      <c r="N170" s="245"/>
      <c r="O170" s="245"/>
      <c r="P170" s="245"/>
      <c r="Q170" s="245"/>
      <c r="R170" s="245"/>
      <c r="S170" s="245"/>
      <c r="T170" s="245"/>
      <c r="U170" s="245"/>
      <c r="V170" s="245"/>
      <c r="W170" s="245"/>
    </row>
    <row r="171" spans="2:23" ht="12.75" customHeight="1">
      <c r="B171" s="245"/>
      <c r="C171" s="245"/>
      <c r="D171" s="245"/>
      <c r="E171" s="245"/>
      <c r="F171" s="245"/>
      <c r="G171" s="245"/>
      <c r="H171" s="245"/>
      <c r="I171" s="245"/>
      <c r="J171" s="245"/>
      <c r="K171" s="245"/>
      <c r="L171" s="245"/>
      <c r="M171" s="245"/>
      <c r="N171" s="245"/>
      <c r="O171" s="245"/>
      <c r="P171" s="245"/>
      <c r="Q171" s="245"/>
      <c r="R171" s="245"/>
      <c r="S171" s="245"/>
      <c r="T171" s="245"/>
      <c r="U171" s="245"/>
      <c r="V171" s="245"/>
      <c r="W171" s="245"/>
    </row>
    <row r="172" spans="2:23" ht="12.75" customHeight="1">
      <c r="B172" s="245"/>
      <c r="C172" s="245"/>
      <c r="D172" s="245"/>
      <c r="E172" s="245"/>
      <c r="F172" s="245"/>
      <c r="G172" s="245"/>
      <c r="H172" s="245"/>
      <c r="I172" s="245"/>
      <c r="J172" s="245"/>
      <c r="K172" s="245"/>
      <c r="L172" s="245"/>
      <c r="M172" s="245"/>
      <c r="N172" s="245"/>
      <c r="O172" s="245"/>
      <c r="P172" s="245"/>
      <c r="Q172" s="245"/>
      <c r="R172" s="245"/>
      <c r="S172" s="245"/>
      <c r="T172" s="245"/>
      <c r="U172" s="245"/>
      <c r="V172" s="245"/>
      <c r="W172" s="245"/>
    </row>
    <row r="173" spans="2:23" ht="12.75" customHeight="1">
      <c r="B173" s="245"/>
      <c r="C173" s="245"/>
      <c r="D173" s="245"/>
      <c r="E173" s="245"/>
      <c r="F173" s="245"/>
      <c r="G173" s="245"/>
      <c r="H173" s="245"/>
      <c r="I173" s="245"/>
      <c r="J173" s="245"/>
      <c r="K173" s="245"/>
      <c r="L173" s="245"/>
      <c r="M173" s="245"/>
      <c r="N173" s="245"/>
      <c r="O173" s="245"/>
      <c r="P173" s="245"/>
      <c r="Q173" s="245"/>
      <c r="R173" s="245"/>
      <c r="S173" s="245"/>
      <c r="T173" s="245"/>
      <c r="U173" s="245"/>
      <c r="V173" s="245"/>
      <c r="W173" s="245"/>
    </row>
    <row r="174" spans="2:23" ht="12.75" customHeight="1">
      <c r="B174" s="245"/>
      <c r="C174" s="245"/>
      <c r="D174" s="245"/>
      <c r="E174" s="245"/>
      <c r="F174" s="245"/>
      <c r="G174" s="245"/>
      <c r="H174" s="245"/>
      <c r="I174" s="245"/>
      <c r="J174" s="245"/>
      <c r="K174" s="245"/>
      <c r="L174" s="245"/>
      <c r="M174" s="245"/>
      <c r="N174" s="245"/>
      <c r="O174" s="245"/>
      <c r="P174" s="245"/>
      <c r="Q174" s="245"/>
      <c r="R174" s="245"/>
      <c r="S174" s="245"/>
      <c r="T174" s="245"/>
      <c r="U174" s="245"/>
      <c r="V174" s="245"/>
      <c r="W174" s="245"/>
    </row>
    <row r="175" spans="2:23" ht="12.75" customHeight="1">
      <c r="B175" s="245"/>
      <c r="C175" s="245"/>
      <c r="D175" s="245"/>
      <c r="E175" s="245"/>
      <c r="F175" s="245"/>
      <c r="G175" s="245"/>
      <c r="H175" s="245"/>
      <c r="I175" s="245"/>
      <c r="J175" s="245"/>
      <c r="K175" s="245"/>
      <c r="L175" s="245"/>
      <c r="M175" s="245"/>
      <c r="N175" s="245"/>
      <c r="O175" s="245"/>
      <c r="P175" s="245"/>
      <c r="Q175" s="245"/>
      <c r="R175" s="245"/>
      <c r="S175" s="245"/>
      <c r="T175" s="245"/>
      <c r="U175" s="245"/>
      <c r="V175" s="245"/>
      <c r="W175" s="245"/>
    </row>
    <row r="176" spans="2:23" ht="12.75" customHeight="1">
      <c r="B176" s="245"/>
      <c r="C176" s="245"/>
      <c r="D176" s="245"/>
      <c r="E176" s="245"/>
      <c r="F176" s="245"/>
      <c r="G176" s="245"/>
      <c r="H176" s="245"/>
      <c r="I176" s="245"/>
      <c r="J176" s="245"/>
      <c r="K176" s="245"/>
      <c r="L176" s="245"/>
      <c r="M176" s="245"/>
      <c r="N176" s="245"/>
      <c r="O176" s="245"/>
      <c r="P176" s="245"/>
      <c r="Q176" s="245"/>
      <c r="R176" s="245"/>
      <c r="S176" s="245"/>
      <c r="T176" s="245"/>
      <c r="U176" s="245"/>
      <c r="V176" s="245"/>
      <c r="W176" s="245"/>
    </row>
    <row r="177" spans="2:23" ht="12.75" customHeight="1">
      <c r="B177" s="245"/>
      <c r="C177" s="245"/>
      <c r="D177" s="245"/>
      <c r="E177" s="245"/>
      <c r="F177" s="245"/>
      <c r="G177" s="245"/>
      <c r="H177" s="245"/>
      <c r="I177" s="245"/>
      <c r="J177" s="245"/>
      <c r="K177" s="245"/>
      <c r="L177" s="245"/>
      <c r="M177" s="245"/>
      <c r="N177" s="245"/>
      <c r="O177" s="245"/>
      <c r="P177" s="245"/>
      <c r="Q177" s="245"/>
      <c r="R177" s="245"/>
      <c r="S177" s="245"/>
      <c r="T177" s="245"/>
      <c r="U177" s="245"/>
      <c r="V177" s="245"/>
      <c r="W177" s="245"/>
    </row>
    <row r="178" spans="2:23" ht="12.75" customHeight="1">
      <c r="B178" s="245"/>
      <c r="C178" s="245"/>
      <c r="D178" s="245"/>
      <c r="E178" s="245"/>
      <c r="F178" s="245"/>
      <c r="G178" s="245"/>
      <c r="H178" s="245"/>
      <c r="I178" s="245"/>
      <c r="J178" s="245"/>
      <c r="K178" s="245"/>
      <c r="L178" s="245"/>
      <c r="M178" s="245"/>
      <c r="N178" s="245"/>
      <c r="O178" s="245"/>
      <c r="P178" s="245"/>
      <c r="Q178" s="245"/>
      <c r="R178" s="245"/>
      <c r="S178" s="245"/>
      <c r="T178" s="245"/>
      <c r="U178" s="245"/>
      <c r="V178" s="245"/>
      <c r="W178" s="245"/>
    </row>
    <row r="179" spans="2:23" ht="12.75" customHeight="1">
      <c r="B179" s="245"/>
      <c r="C179" s="245"/>
      <c r="D179" s="245"/>
      <c r="E179" s="245"/>
      <c r="F179" s="245"/>
      <c r="G179" s="245"/>
      <c r="H179" s="245"/>
      <c r="I179" s="245"/>
      <c r="J179" s="245"/>
      <c r="K179" s="245"/>
      <c r="L179" s="245"/>
      <c r="M179" s="245"/>
      <c r="N179" s="245"/>
      <c r="O179" s="245"/>
      <c r="P179" s="245"/>
      <c r="Q179" s="245"/>
      <c r="R179" s="245"/>
      <c r="S179" s="245"/>
      <c r="T179" s="245"/>
      <c r="U179" s="245"/>
      <c r="V179" s="245"/>
      <c r="W179" s="245"/>
    </row>
    <row r="180" spans="2:23" ht="12.75" customHeight="1">
      <c r="B180" s="245"/>
      <c r="C180" s="245"/>
      <c r="D180" s="245"/>
      <c r="E180" s="245"/>
      <c r="F180" s="245"/>
      <c r="G180" s="245"/>
      <c r="H180" s="245"/>
      <c r="I180" s="245"/>
      <c r="J180" s="245"/>
      <c r="K180" s="245"/>
      <c r="L180" s="245"/>
      <c r="M180" s="245"/>
      <c r="N180" s="245"/>
      <c r="O180" s="245"/>
      <c r="P180" s="245"/>
      <c r="Q180" s="245"/>
      <c r="R180" s="245"/>
      <c r="S180" s="245"/>
      <c r="T180" s="245"/>
      <c r="U180" s="245"/>
      <c r="V180" s="245"/>
      <c r="W180" s="245"/>
    </row>
    <row r="181" spans="2:23" ht="12.75" customHeight="1">
      <c r="B181" s="245"/>
      <c r="C181" s="245"/>
      <c r="D181" s="245"/>
      <c r="E181" s="245"/>
      <c r="F181" s="245"/>
      <c r="G181" s="245"/>
      <c r="H181" s="245"/>
      <c r="I181" s="245"/>
      <c r="J181" s="245"/>
      <c r="K181" s="245"/>
      <c r="L181" s="245"/>
      <c r="M181" s="245"/>
      <c r="N181" s="245"/>
      <c r="O181" s="245"/>
      <c r="P181" s="245"/>
      <c r="Q181" s="245"/>
      <c r="R181" s="245"/>
      <c r="S181" s="245"/>
      <c r="T181" s="245"/>
      <c r="U181" s="245"/>
      <c r="V181" s="245"/>
      <c r="W181" s="245"/>
    </row>
    <row r="182" spans="2:23" ht="12.75" customHeight="1">
      <c r="B182" s="245"/>
      <c r="C182" s="245"/>
      <c r="D182" s="245"/>
      <c r="E182" s="245"/>
      <c r="F182" s="245"/>
      <c r="G182" s="245"/>
      <c r="H182" s="245"/>
      <c r="I182" s="245"/>
      <c r="J182" s="245"/>
      <c r="K182" s="245"/>
      <c r="L182" s="245"/>
      <c r="M182" s="245"/>
      <c r="N182" s="245"/>
      <c r="O182" s="245"/>
      <c r="P182" s="245"/>
      <c r="Q182" s="245"/>
      <c r="R182" s="245"/>
      <c r="S182" s="245"/>
      <c r="T182" s="245"/>
      <c r="U182" s="245"/>
      <c r="V182" s="245"/>
      <c r="W182" s="245"/>
    </row>
    <row r="183" spans="2:23" ht="12.75" customHeight="1">
      <c r="B183" s="245"/>
      <c r="C183" s="245"/>
      <c r="D183" s="245"/>
      <c r="E183" s="245"/>
      <c r="F183" s="245"/>
      <c r="G183" s="245"/>
      <c r="H183" s="245"/>
      <c r="I183" s="245"/>
      <c r="J183" s="245"/>
      <c r="K183" s="245"/>
      <c r="L183" s="245"/>
      <c r="M183" s="245"/>
      <c r="N183" s="245"/>
      <c r="O183" s="245"/>
      <c r="P183" s="245"/>
      <c r="Q183" s="245"/>
      <c r="R183" s="245"/>
      <c r="S183" s="245"/>
      <c r="T183" s="245"/>
      <c r="U183" s="245"/>
      <c r="V183" s="245"/>
      <c r="W183" s="245"/>
    </row>
    <row r="184" spans="2:23" ht="12.75" customHeight="1">
      <c r="B184" s="245"/>
      <c r="C184" s="245"/>
      <c r="D184" s="245"/>
      <c r="E184" s="245"/>
      <c r="F184" s="245"/>
      <c r="G184" s="245"/>
      <c r="H184" s="245"/>
      <c r="I184" s="245"/>
      <c r="J184" s="245"/>
      <c r="K184" s="245"/>
      <c r="L184" s="245"/>
      <c r="M184" s="245"/>
      <c r="N184" s="245"/>
      <c r="O184" s="245"/>
      <c r="P184" s="245"/>
      <c r="Q184" s="245"/>
      <c r="R184" s="245"/>
      <c r="S184" s="245"/>
      <c r="T184" s="245"/>
      <c r="U184" s="245"/>
      <c r="V184" s="245"/>
      <c r="W184" s="245"/>
    </row>
    <row r="185" spans="2:23" ht="12.75" customHeight="1">
      <c r="B185" s="245"/>
      <c r="C185" s="245"/>
      <c r="D185" s="245"/>
      <c r="E185" s="245"/>
      <c r="F185" s="245"/>
      <c r="G185" s="245"/>
      <c r="H185" s="245"/>
      <c r="I185" s="245"/>
      <c r="J185" s="245"/>
      <c r="K185" s="245"/>
      <c r="L185" s="245"/>
      <c r="M185" s="245"/>
      <c r="N185" s="245"/>
      <c r="O185" s="245"/>
      <c r="P185" s="245"/>
      <c r="Q185" s="245"/>
      <c r="R185" s="245"/>
      <c r="S185" s="245"/>
      <c r="T185" s="245"/>
      <c r="U185" s="245"/>
      <c r="V185" s="245"/>
      <c r="W185" s="245"/>
    </row>
    <row r="186" spans="2:23" ht="12.75" customHeight="1">
      <c r="B186" s="245"/>
      <c r="C186" s="245"/>
      <c r="D186" s="245"/>
      <c r="E186" s="245"/>
      <c r="F186" s="245"/>
      <c r="G186" s="245"/>
      <c r="H186" s="245"/>
      <c r="I186" s="245"/>
      <c r="J186" s="245"/>
      <c r="K186" s="245"/>
      <c r="L186" s="245"/>
      <c r="M186" s="245"/>
      <c r="N186" s="245"/>
      <c r="O186" s="245"/>
      <c r="P186" s="245"/>
      <c r="Q186" s="245"/>
      <c r="R186" s="245"/>
      <c r="S186" s="245"/>
      <c r="T186" s="245"/>
      <c r="U186" s="245"/>
      <c r="V186" s="245"/>
      <c r="W186" s="245"/>
    </row>
    <row r="187" spans="2:23" ht="12.75" customHeight="1">
      <c r="B187" s="245"/>
      <c r="C187" s="245"/>
      <c r="D187" s="245"/>
      <c r="E187" s="245"/>
      <c r="F187" s="245"/>
      <c r="G187" s="245"/>
      <c r="H187" s="245"/>
      <c r="I187" s="245"/>
      <c r="J187" s="245"/>
      <c r="K187" s="245"/>
      <c r="L187" s="245"/>
      <c r="M187" s="245"/>
      <c r="N187" s="245"/>
      <c r="O187" s="245"/>
      <c r="P187" s="245"/>
      <c r="Q187" s="245"/>
      <c r="R187" s="245"/>
      <c r="S187" s="245"/>
      <c r="T187" s="245"/>
      <c r="U187" s="245"/>
      <c r="V187" s="245"/>
      <c r="W187" s="245"/>
    </row>
    <row r="188" spans="2:23" ht="12.75" customHeight="1">
      <c r="B188" s="245"/>
      <c r="C188" s="245"/>
      <c r="D188" s="245"/>
      <c r="E188" s="245"/>
      <c r="F188" s="245"/>
      <c r="G188" s="245"/>
      <c r="H188" s="245"/>
      <c r="I188" s="245"/>
      <c r="J188" s="245"/>
      <c r="K188" s="245"/>
      <c r="L188" s="245"/>
      <c r="M188" s="245"/>
      <c r="N188" s="245"/>
      <c r="O188" s="245"/>
      <c r="P188" s="245"/>
      <c r="Q188" s="245"/>
      <c r="R188" s="245"/>
      <c r="S188" s="245"/>
      <c r="T188" s="245"/>
      <c r="U188" s="245"/>
      <c r="V188" s="245"/>
      <c r="W188" s="245"/>
    </row>
    <row r="189" spans="2:23" ht="12.75" customHeight="1">
      <c r="B189" s="245"/>
      <c r="C189" s="245"/>
      <c r="D189" s="245"/>
      <c r="E189" s="245"/>
      <c r="F189" s="245"/>
      <c r="G189" s="245"/>
      <c r="H189" s="245"/>
      <c r="I189" s="245"/>
      <c r="J189" s="245"/>
      <c r="K189" s="245"/>
      <c r="L189" s="245"/>
      <c r="M189" s="245"/>
      <c r="N189" s="245"/>
      <c r="O189" s="245"/>
      <c r="P189" s="245"/>
      <c r="Q189" s="245"/>
      <c r="R189" s="245"/>
      <c r="S189" s="245"/>
      <c r="T189" s="245"/>
      <c r="U189" s="245"/>
      <c r="V189" s="245"/>
      <c r="W189" s="245"/>
    </row>
    <row r="190" spans="2:23" ht="12.75" customHeight="1">
      <c r="B190" s="245"/>
      <c r="C190" s="245"/>
      <c r="D190" s="245"/>
      <c r="E190" s="245"/>
      <c r="F190" s="245"/>
      <c r="G190" s="245"/>
      <c r="H190" s="245"/>
      <c r="I190" s="245"/>
      <c r="J190" s="245"/>
      <c r="K190" s="245"/>
      <c r="L190" s="245"/>
      <c r="M190" s="245"/>
      <c r="N190" s="245"/>
      <c r="O190" s="245"/>
      <c r="P190" s="245"/>
      <c r="Q190" s="245"/>
      <c r="R190" s="245"/>
      <c r="S190" s="245"/>
      <c r="T190" s="245"/>
      <c r="U190" s="245"/>
      <c r="V190" s="245"/>
      <c r="W190" s="245"/>
    </row>
    <row r="191" spans="2:23" ht="12.75" customHeight="1">
      <c r="B191" s="245"/>
      <c r="C191" s="245"/>
      <c r="D191" s="245"/>
      <c r="E191" s="245"/>
      <c r="F191" s="245"/>
      <c r="G191" s="245"/>
      <c r="H191" s="245"/>
      <c r="I191" s="245"/>
      <c r="J191" s="245"/>
      <c r="K191" s="245"/>
      <c r="L191" s="245"/>
      <c r="M191" s="245"/>
      <c r="N191" s="245"/>
      <c r="O191" s="245"/>
      <c r="P191" s="245"/>
      <c r="Q191" s="245"/>
      <c r="R191" s="245"/>
      <c r="S191" s="245"/>
      <c r="T191" s="245"/>
      <c r="U191" s="245"/>
      <c r="V191" s="245"/>
      <c r="W191" s="245"/>
    </row>
    <row r="192" spans="2:23" ht="12.75" customHeight="1">
      <c r="B192" s="245"/>
      <c r="C192" s="245"/>
      <c r="D192" s="245"/>
      <c r="E192" s="245"/>
      <c r="F192" s="245"/>
      <c r="G192" s="245"/>
      <c r="H192" s="245"/>
      <c r="I192" s="245"/>
      <c r="J192" s="245"/>
      <c r="K192" s="245"/>
      <c r="L192" s="245"/>
      <c r="M192" s="245"/>
      <c r="N192" s="245"/>
      <c r="O192" s="245"/>
      <c r="P192" s="245"/>
      <c r="Q192" s="245"/>
      <c r="R192" s="245"/>
      <c r="S192" s="245"/>
      <c r="T192" s="245"/>
      <c r="U192" s="245"/>
      <c r="V192" s="245"/>
      <c r="W192" s="245"/>
    </row>
    <row r="193" spans="2:23" ht="12.75" customHeight="1">
      <c r="B193" s="245"/>
      <c r="C193" s="245"/>
      <c r="D193" s="245"/>
      <c r="E193" s="245"/>
      <c r="F193" s="245"/>
      <c r="G193" s="245"/>
      <c r="H193" s="245"/>
      <c r="I193" s="245"/>
      <c r="J193" s="245"/>
      <c r="K193" s="245"/>
      <c r="L193" s="245"/>
      <c r="M193" s="245"/>
      <c r="N193" s="245"/>
      <c r="O193" s="245"/>
      <c r="P193" s="245"/>
      <c r="Q193" s="245"/>
      <c r="R193" s="245"/>
      <c r="S193" s="245"/>
      <c r="T193" s="245"/>
      <c r="U193" s="245"/>
      <c r="V193" s="245"/>
      <c r="W193" s="245"/>
    </row>
    <row r="194" spans="2:23" ht="12.75" customHeight="1">
      <c r="B194" s="245"/>
      <c r="C194" s="245"/>
      <c r="D194" s="245"/>
      <c r="E194" s="245"/>
      <c r="F194" s="245"/>
      <c r="G194" s="245"/>
      <c r="H194" s="245"/>
      <c r="I194" s="245"/>
      <c r="J194" s="245"/>
      <c r="K194" s="245"/>
      <c r="L194" s="245"/>
      <c r="M194" s="245"/>
      <c r="N194" s="245"/>
      <c r="O194" s="245"/>
      <c r="P194" s="245"/>
      <c r="Q194" s="245"/>
      <c r="R194" s="245"/>
      <c r="S194" s="245"/>
      <c r="T194" s="245"/>
      <c r="U194" s="245"/>
      <c r="V194" s="245"/>
      <c r="W194" s="245"/>
    </row>
    <row r="195" spans="2:23" ht="12.75" customHeight="1">
      <c r="B195" s="245"/>
      <c r="C195" s="245"/>
      <c r="D195" s="245"/>
      <c r="E195" s="245"/>
      <c r="F195" s="245"/>
      <c r="G195" s="245"/>
      <c r="H195" s="245"/>
      <c r="I195" s="245"/>
      <c r="J195" s="245"/>
      <c r="K195" s="245"/>
      <c r="L195" s="245"/>
      <c r="M195" s="245"/>
      <c r="N195" s="245"/>
      <c r="O195" s="245"/>
      <c r="P195" s="245"/>
      <c r="Q195" s="245"/>
      <c r="R195" s="245"/>
      <c r="S195" s="245"/>
      <c r="T195" s="245"/>
      <c r="U195" s="245"/>
      <c r="V195" s="245"/>
      <c r="W195" s="245"/>
    </row>
    <row r="196" spans="2:23" ht="12.75" customHeight="1">
      <c r="B196" s="245"/>
      <c r="C196" s="245"/>
      <c r="D196" s="245"/>
      <c r="E196" s="245"/>
      <c r="F196" s="245"/>
      <c r="G196" s="245"/>
      <c r="H196" s="245"/>
      <c r="I196" s="245"/>
      <c r="J196" s="245"/>
      <c r="K196" s="245"/>
      <c r="L196" s="245"/>
      <c r="M196" s="245"/>
      <c r="N196" s="245"/>
      <c r="O196" s="245"/>
      <c r="P196" s="245"/>
      <c r="Q196" s="245"/>
      <c r="R196" s="245"/>
      <c r="S196" s="245"/>
      <c r="T196" s="245"/>
      <c r="U196" s="245"/>
      <c r="V196" s="245"/>
      <c r="W196" s="245"/>
    </row>
    <row r="197" spans="2:23" ht="12.75" customHeight="1">
      <c r="B197" s="245"/>
      <c r="C197" s="245"/>
      <c r="D197" s="245"/>
      <c r="E197" s="245"/>
      <c r="F197" s="245"/>
      <c r="G197" s="245"/>
      <c r="H197" s="245"/>
      <c r="I197" s="245"/>
      <c r="J197" s="245"/>
      <c r="K197" s="245"/>
      <c r="L197" s="245"/>
      <c r="M197" s="245"/>
      <c r="N197" s="245"/>
      <c r="O197" s="245"/>
      <c r="P197" s="245"/>
      <c r="Q197" s="245"/>
      <c r="R197" s="245"/>
      <c r="S197" s="245"/>
      <c r="T197" s="245"/>
      <c r="U197" s="245"/>
      <c r="V197" s="245"/>
      <c r="W197" s="245"/>
    </row>
    <row r="198" spans="2:23" ht="12.75" customHeight="1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  <c r="L198" s="245"/>
      <c r="M198" s="245"/>
      <c r="N198" s="245"/>
      <c r="O198" s="245"/>
      <c r="P198" s="245"/>
      <c r="Q198" s="245"/>
      <c r="R198" s="245"/>
      <c r="S198" s="245"/>
      <c r="T198" s="245"/>
      <c r="U198" s="245"/>
      <c r="V198" s="245"/>
      <c r="W198" s="245"/>
    </row>
    <row r="199" spans="2:23" ht="12.75" customHeight="1">
      <c r="B199" s="245"/>
      <c r="C199" s="245"/>
      <c r="D199" s="245"/>
      <c r="E199" s="245"/>
      <c r="F199" s="245"/>
      <c r="G199" s="245"/>
      <c r="H199" s="245"/>
      <c r="I199" s="245"/>
      <c r="J199" s="245"/>
      <c r="K199" s="245"/>
      <c r="L199" s="245"/>
      <c r="M199" s="245"/>
      <c r="N199" s="245"/>
      <c r="O199" s="245"/>
      <c r="P199" s="245"/>
      <c r="Q199" s="245"/>
      <c r="R199" s="245"/>
      <c r="S199" s="245"/>
      <c r="T199" s="245"/>
      <c r="U199" s="245"/>
      <c r="V199" s="245"/>
      <c r="W199" s="245"/>
    </row>
    <row r="200" spans="2:23" ht="12.75" customHeight="1">
      <c r="B200" s="245"/>
      <c r="C200" s="245"/>
      <c r="D200" s="245"/>
      <c r="E200" s="245"/>
      <c r="F200" s="245"/>
      <c r="G200" s="245"/>
      <c r="H200" s="245"/>
      <c r="I200" s="245"/>
      <c r="J200" s="245"/>
      <c r="K200" s="245"/>
      <c r="L200" s="245"/>
      <c r="M200" s="245"/>
      <c r="N200" s="245"/>
      <c r="O200" s="245"/>
      <c r="P200" s="245"/>
      <c r="Q200" s="245"/>
      <c r="R200" s="245"/>
      <c r="S200" s="245"/>
      <c r="T200" s="245"/>
      <c r="U200" s="245"/>
      <c r="V200" s="245"/>
      <c r="W200" s="245"/>
    </row>
    <row r="201" spans="2:23" ht="12.75" customHeight="1">
      <c r="B201" s="245"/>
      <c r="C201" s="245"/>
      <c r="D201" s="245"/>
      <c r="E201" s="245"/>
      <c r="F201" s="245"/>
      <c r="G201" s="245"/>
      <c r="H201" s="245"/>
      <c r="I201" s="245"/>
      <c r="J201" s="245"/>
      <c r="K201" s="245"/>
      <c r="L201" s="245"/>
      <c r="M201" s="245"/>
      <c r="N201" s="245"/>
      <c r="O201" s="245"/>
      <c r="P201" s="245"/>
      <c r="Q201" s="245"/>
      <c r="R201" s="245"/>
      <c r="S201" s="245"/>
      <c r="T201" s="245"/>
      <c r="U201" s="245"/>
      <c r="V201" s="245"/>
      <c r="W201" s="245"/>
    </row>
    <row r="202" spans="2:23" ht="12.75" customHeight="1">
      <c r="B202" s="245"/>
      <c r="C202" s="245"/>
      <c r="D202" s="245"/>
      <c r="E202" s="245"/>
      <c r="F202" s="245"/>
      <c r="G202" s="245"/>
      <c r="H202" s="245"/>
      <c r="I202" s="245"/>
      <c r="J202" s="245"/>
      <c r="K202" s="245"/>
      <c r="L202" s="245"/>
      <c r="M202" s="245"/>
      <c r="N202" s="245"/>
      <c r="O202" s="245"/>
      <c r="P202" s="245"/>
      <c r="Q202" s="245"/>
      <c r="R202" s="245"/>
      <c r="S202" s="245"/>
      <c r="T202" s="245"/>
      <c r="U202" s="245"/>
      <c r="V202" s="245"/>
      <c r="W202" s="245"/>
    </row>
    <row r="203" spans="2:23" ht="12.75" customHeight="1">
      <c r="B203" s="245"/>
      <c r="C203" s="245"/>
      <c r="D203" s="245"/>
      <c r="E203" s="245"/>
      <c r="F203" s="245"/>
      <c r="G203" s="245"/>
      <c r="H203" s="245"/>
      <c r="I203" s="245"/>
      <c r="J203" s="245"/>
      <c r="K203" s="245"/>
      <c r="L203" s="245"/>
      <c r="M203" s="245"/>
      <c r="N203" s="245"/>
      <c r="O203" s="245"/>
      <c r="P203" s="245"/>
      <c r="Q203" s="245"/>
      <c r="R203" s="245"/>
      <c r="S203" s="245"/>
      <c r="T203" s="245"/>
      <c r="U203" s="245"/>
      <c r="V203" s="245"/>
      <c r="W203" s="245"/>
    </row>
    <row r="204" spans="2:23" ht="12.75" customHeight="1">
      <c r="B204" s="245"/>
      <c r="C204" s="245"/>
      <c r="D204" s="245"/>
      <c r="E204" s="245"/>
      <c r="F204" s="245"/>
      <c r="G204" s="245"/>
      <c r="H204" s="245"/>
      <c r="I204" s="245"/>
      <c r="J204" s="245"/>
      <c r="K204" s="245"/>
      <c r="L204" s="245"/>
      <c r="M204" s="245"/>
      <c r="N204" s="245"/>
      <c r="O204" s="245"/>
      <c r="P204" s="245"/>
      <c r="Q204" s="245"/>
      <c r="R204" s="245"/>
      <c r="S204" s="245"/>
      <c r="T204" s="245"/>
      <c r="U204" s="245"/>
      <c r="V204" s="245"/>
      <c r="W204" s="245"/>
    </row>
    <row r="205" spans="2:23" ht="12.75" customHeight="1">
      <c r="B205" s="245"/>
      <c r="C205" s="245"/>
      <c r="D205" s="245"/>
      <c r="E205" s="245"/>
      <c r="F205" s="245"/>
      <c r="G205" s="245"/>
      <c r="H205" s="245"/>
      <c r="I205" s="245"/>
      <c r="J205" s="245"/>
      <c r="K205" s="245"/>
      <c r="L205" s="245"/>
      <c r="M205" s="245"/>
      <c r="N205" s="245"/>
      <c r="O205" s="245"/>
      <c r="P205" s="245"/>
      <c r="Q205" s="245"/>
      <c r="R205" s="245"/>
      <c r="S205" s="245"/>
      <c r="T205" s="245"/>
      <c r="U205" s="245"/>
      <c r="V205" s="245"/>
      <c r="W205" s="245"/>
    </row>
    <row r="206" spans="2:23" ht="12.75" customHeight="1">
      <c r="B206" s="245"/>
      <c r="C206" s="245"/>
      <c r="D206" s="245"/>
      <c r="E206" s="245"/>
      <c r="F206" s="245"/>
      <c r="G206" s="245"/>
      <c r="H206" s="245"/>
      <c r="I206" s="245"/>
      <c r="J206" s="245"/>
      <c r="K206" s="245"/>
      <c r="L206" s="245"/>
      <c r="M206" s="245"/>
      <c r="N206" s="245"/>
      <c r="O206" s="245"/>
      <c r="P206" s="245"/>
      <c r="Q206" s="245"/>
      <c r="R206" s="245"/>
      <c r="S206" s="245"/>
      <c r="T206" s="245"/>
      <c r="U206" s="245"/>
      <c r="V206" s="245"/>
      <c r="W206" s="245"/>
    </row>
    <row r="207" spans="2:23" ht="12.75" customHeight="1">
      <c r="B207" s="245"/>
      <c r="C207" s="245"/>
      <c r="D207" s="245"/>
      <c r="E207" s="245"/>
      <c r="F207" s="245"/>
      <c r="G207" s="245"/>
      <c r="H207" s="245"/>
      <c r="I207" s="245"/>
      <c r="J207" s="245"/>
      <c r="K207" s="245"/>
      <c r="L207" s="245"/>
      <c r="M207" s="245"/>
      <c r="N207" s="245"/>
      <c r="O207" s="245"/>
      <c r="P207" s="245"/>
      <c r="Q207" s="245"/>
      <c r="R207" s="245"/>
      <c r="S207" s="245"/>
      <c r="T207" s="245"/>
      <c r="U207" s="245"/>
      <c r="V207" s="245"/>
      <c r="W207" s="245"/>
    </row>
    <row r="208" spans="2:23" ht="12.75" customHeight="1">
      <c r="B208" s="245"/>
      <c r="C208" s="245"/>
      <c r="D208" s="245"/>
      <c r="E208" s="245"/>
      <c r="F208" s="245"/>
      <c r="G208" s="245"/>
      <c r="H208" s="245"/>
      <c r="I208" s="245"/>
      <c r="J208" s="245"/>
      <c r="K208" s="245"/>
      <c r="L208" s="245"/>
      <c r="M208" s="245"/>
      <c r="N208" s="245"/>
      <c r="O208" s="245"/>
      <c r="P208" s="245"/>
      <c r="Q208" s="245"/>
      <c r="R208" s="245"/>
      <c r="S208" s="245"/>
      <c r="T208" s="245"/>
      <c r="U208" s="245"/>
      <c r="V208" s="245"/>
      <c r="W208" s="245"/>
    </row>
    <row r="209" spans="2:23" ht="12.75" customHeight="1">
      <c r="B209" s="245"/>
      <c r="C209" s="245"/>
      <c r="D209" s="245"/>
      <c r="E209" s="245"/>
      <c r="F209" s="245"/>
      <c r="G209" s="245"/>
      <c r="H209" s="245"/>
      <c r="I209" s="245"/>
      <c r="J209" s="245"/>
      <c r="K209" s="245"/>
      <c r="L209" s="245"/>
      <c r="M209" s="245"/>
      <c r="N209" s="245"/>
      <c r="O209" s="245"/>
      <c r="P209" s="245"/>
      <c r="Q209" s="245"/>
      <c r="R209" s="245"/>
      <c r="S209" s="245"/>
      <c r="T209" s="245"/>
      <c r="U209" s="245"/>
      <c r="V209" s="245"/>
      <c r="W209" s="245"/>
    </row>
    <row r="210" spans="2:23" ht="12.75" customHeight="1">
      <c r="B210" s="245"/>
      <c r="C210" s="245"/>
      <c r="D210" s="245"/>
      <c r="E210" s="245"/>
      <c r="F210" s="245"/>
      <c r="G210" s="245"/>
      <c r="H210" s="245"/>
      <c r="I210" s="245"/>
      <c r="J210" s="245"/>
      <c r="K210" s="245"/>
      <c r="L210" s="245"/>
      <c r="M210" s="245"/>
      <c r="N210" s="245"/>
      <c r="O210" s="245"/>
      <c r="P210" s="245"/>
      <c r="Q210" s="245"/>
      <c r="R210" s="245"/>
      <c r="S210" s="245"/>
      <c r="T210" s="245"/>
      <c r="U210" s="245"/>
      <c r="V210" s="245"/>
      <c r="W210" s="245"/>
    </row>
    <row r="211" spans="2:23" ht="12.75" customHeight="1">
      <c r="B211" s="245"/>
      <c r="C211" s="245"/>
      <c r="D211" s="245"/>
      <c r="E211" s="245"/>
      <c r="F211" s="245"/>
      <c r="G211" s="245"/>
      <c r="H211" s="245"/>
      <c r="I211" s="245"/>
      <c r="J211" s="245"/>
      <c r="K211" s="245"/>
      <c r="L211" s="245"/>
      <c r="M211" s="245"/>
      <c r="N211" s="245"/>
      <c r="O211" s="245"/>
      <c r="P211" s="245"/>
      <c r="Q211" s="245"/>
      <c r="R211" s="245"/>
      <c r="S211" s="245"/>
      <c r="T211" s="245"/>
      <c r="U211" s="245"/>
      <c r="V211" s="245"/>
      <c r="W211" s="245"/>
    </row>
    <row r="212" spans="2:23" ht="12.75" customHeight="1">
      <c r="B212" s="245"/>
      <c r="C212" s="245"/>
      <c r="D212" s="245"/>
      <c r="E212" s="245"/>
      <c r="F212" s="245"/>
      <c r="G212" s="245"/>
      <c r="H212" s="245"/>
      <c r="I212" s="245"/>
      <c r="J212" s="245"/>
      <c r="K212" s="245"/>
      <c r="L212" s="245"/>
      <c r="M212" s="245"/>
      <c r="N212" s="245"/>
      <c r="O212" s="245"/>
      <c r="P212" s="245"/>
      <c r="Q212" s="245"/>
      <c r="R212" s="245"/>
      <c r="S212" s="245"/>
      <c r="T212" s="245"/>
      <c r="U212" s="245"/>
      <c r="V212" s="245"/>
      <c r="W212" s="245"/>
    </row>
    <row r="213" spans="2:23" ht="12.75" customHeight="1">
      <c r="B213" s="245"/>
      <c r="C213" s="245"/>
      <c r="D213" s="245"/>
      <c r="E213" s="245"/>
      <c r="F213" s="245"/>
      <c r="G213" s="245"/>
      <c r="H213" s="245"/>
      <c r="I213" s="245"/>
      <c r="J213" s="245"/>
      <c r="K213" s="245"/>
      <c r="L213" s="245"/>
      <c r="M213" s="245"/>
      <c r="N213" s="245"/>
      <c r="O213" s="245"/>
      <c r="P213" s="245"/>
      <c r="Q213" s="245"/>
      <c r="R213" s="245"/>
      <c r="S213" s="245"/>
      <c r="T213" s="245"/>
      <c r="U213" s="245"/>
      <c r="V213" s="245"/>
      <c r="W213" s="245"/>
    </row>
    <row r="214" spans="2:23" ht="12.75" customHeight="1">
      <c r="B214" s="245"/>
      <c r="C214" s="245"/>
      <c r="D214" s="245"/>
      <c r="E214" s="245"/>
      <c r="F214" s="245"/>
      <c r="G214" s="245"/>
      <c r="H214" s="245"/>
      <c r="I214" s="245"/>
      <c r="J214" s="245"/>
      <c r="K214" s="245"/>
      <c r="L214" s="245"/>
      <c r="M214" s="245"/>
      <c r="N214" s="245"/>
      <c r="O214" s="245"/>
      <c r="P214" s="245"/>
      <c r="Q214" s="245"/>
      <c r="R214" s="245"/>
      <c r="S214" s="245"/>
      <c r="T214" s="245"/>
      <c r="U214" s="245"/>
      <c r="V214" s="245"/>
      <c r="W214" s="245"/>
    </row>
    <row r="215" spans="2:23" ht="12.75" customHeight="1">
      <c r="B215" s="245"/>
      <c r="C215" s="245"/>
      <c r="D215" s="245"/>
      <c r="E215" s="245"/>
      <c r="F215" s="245"/>
      <c r="G215" s="245"/>
      <c r="H215" s="245"/>
      <c r="I215" s="245"/>
      <c r="J215" s="245"/>
      <c r="K215" s="245"/>
      <c r="L215" s="245"/>
      <c r="M215" s="245"/>
      <c r="N215" s="245"/>
      <c r="O215" s="245"/>
      <c r="P215" s="245"/>
      <c r="Q215" s="245"/>
      <c r="R215" s="245"/>
      <c r="S215" s="245"/>
      <c r="T215" s="245"/>
      <c r="U215" s="245"/>
      <c r="V215" s="245"/>
      <c r="W215" s="245"/>
    </row>
    <row r="216" spans="2:23" ht="12.75" customHeight="1">
      <c r="B216" s="245"/>
      <c r="C216" s="245"/>
      <c r="D216" s="245"/>
      <c r="E216" s="245"/>
      <c r="F216" s="245"/>
      <c r="G216" s="245"/>
      <c r="H216" s="245"/>
      <c r="I216" s="245"/>
      <c r="J216" s="245"/>
      <c r="K216" s="245"/>
      <c r="L216" s="245"/>
      <c r="M216" s="245"/>
      <c r="N216" s="245"/>
      <c r="O216" s="245"/>
      <c r="P216" s="245"/>
      <c r="Q216" s="245"/>
      <c r="R216" s="245"/>
      <c r="S216" s="245"/>
      <c r="T216" s="245"/>
      <c r="U216" s="245"/>
      <c r="V216" s="245"/>
      <c r="W216" s="245"/>
    </row>
    <row r="217" spans="2:23" ht="12.75" customHeight="1">
      <c r="B217" s="245"/>
      <c r="C217" s="245"/>
      <c r="D217" s="245"/>
      <c r="E217" s="245"/>
      <c r="F217" s="245"/>
      <c r="G217" s="245"/>
      <c r="H217" s="245"/>
      <c r="I217" s="245"/>
      <c r="J217" s="245"/>
      <c r="K217" s="245"/>
      <c r="L217" s="245"/>
      <c r="M217" s="245"/>
      <c r="N217" s="245"/>
      <c r="O217" s="245"/>
      <c r="P217" s="245"/>
      <c r="Q217" s="245"/>
      <c r="R217" s="245"/>
      <c r="S217" s="245"/>
      <c r="T217" s="245"/>
      <c r="U217" s="245"/>
      <c r="V217" s="245"/>
      <c r="W217" s="245"/>
    </row>
    <row r="218" spans="2:23" ht="12.75" customHeight="1">
      <c r="B218" s="245"/>
      <c r="C218" s="245"/>
      <c r="D218" s="245"/>
      <c r="E218" s="245"/>
      <c r="F218" s="245"/>
      <c r="G218" s="245"/>
      <c r="H218" s="245"/>
      <c r="I218" s="245"/>
      <c r="J218" s="245"/>
      <c r="K218" s="245"/>
      <c r="L218" s="245"/>
      <c r="M218" s="245"/>
      <c r="N218" s="245"/>
      <c r="O218" s="245"/>
      <c r="P218" s="245"/>
      <c r="Q218" s="245"/>
      <c r="R218" s="245"/>
      <c r="S218" s="245"/>
      <c r="T218" s="245"/>
      <c r="U218" s="245"/>
      <c r="V218" s="245"/>
      <c r="W218" s="245"/>
    </row>
    <row r="219" spans="2:23" ht="12.75" customHeight="1">
      <c r="B219" s="245"/>
      <c r="C219" s="245"/>
      <c r="D219" s="245"/>
      <c r="E219" s="245"/>
      <c r="F219" s="245"/>
      <c r="G219" s="245"/>
      <c r="H219" s="245"/>
      <c r="I219" s="245"/>
      <c r="J219" s="245"/>
      <c r="K219" s="245"/>
      <c r="L219" s="245"/>
      <c r="M219" s="245"/>
      <c r="N219" s="245"/>
      <c r="O219" s="245"/>
      <c r="P219" s="245"/>
      <c r="Q219" s="245"/>
      <c r="R219" s="245"/>
      <c r="S219" s="245"/>
      <c r="T219" s="245"/>
      <c r="U219" s="245"/>
      <c r="V219" s="245"/>
      <c r="W219" s="245"/>
    </row>
    <row r="220" spans="2:23" ht="12.75" customHeight="1">
      <c r="B220" s="245"/>
      <c r="C220" s="245"/>
      <c r="D220" s="245"/>
      <c r="E220" s="245"/>
      <c r="F220" s="245"/>
      <c r="G220" s="245"/>
      <c r="H220" s="245"/>
      <c r="I220" s="245"/>
      <c r="J220" s="245"/>
      <c r="K220" s="245"/>
      <c r="L220" s="245"/>
      <c r="M220" s="245"/>
      <c r="N220" s="245"/>
      <c r="O220" s="245"/>
      <c r="P220" s="245"/>
      <c r="Q220" s="245"/>
      <c r="R220" s="245"/>
      <c r="S220" s="245"/>
      <c r="T220" s="245"/>
      <c r="U220" s="245"/>
      <c r="V220" s="245"/>
      <c r="W220" s="245"/>
    </row>
    <row r="221" spans="2:23" ht="12.75" customHeight="1">
      <c r="B221" s="245"/>
      <c r="C221" s="245"/>
      <c r="D221" s="245"/>
      <c r="E221" s="245"/>
      <c r="F221" s="245"/>
      <c r="G221" s="245"/>
      <c r="H221" s="245"/>
      <c r="I221" s="245"/>
      <c r="J221" s="245"/>
      <c r="K221" s="245"/>
      <c r="L221" s="245"/>
      <c r="M221" s="245"/>
      <c r="N221" s="245"/>
      <c r="O221" s="245"/>
      <c r="P221" s="245"/>
      <c r="Q221" s="245"/>
      <c r="R221" s="245"/>
      <c r="S221" s="245"/>
      <c r="T221" s="245"/>
      <c r="U221" s="245"/>
      <c r="V221" s="245"/>
      <c r="W221" s="245"/>
    </row>
    <row r="222" spans="2:23" ht="12.75" customHeight="1">
      <c r="B222" s="245"/>
      <c r="C222" s="245"/>
      <c r="D222" s="245"/>
      <c r="E222" s="245"/>
      <c r="F222" s="245"/>
      <c r="G222" s="245"/>
      <c r="H222" s="245"/>
      <c r="I222" s="245"/>
      <c r="J222" s="245"/>
      <c r="K222" s="245"/>
      <c r="L222" s="245"/>
      <c r="M222" s="245"/>
      <c r="N222" s="245"/>
      <c r="O222" s="245"/>
      <c r="P222" s="245"/>
      <c r="Q222" s="245"/>
      <c r="R222" s="245"/>
      <c r="S222" s="245"/>
      <c r="T222" s="245"/>
      <c r="U222" s="245"/>
      <c r="V222" s="245"/>
      <c r="W222" s="245"/>
    </row>
    <row r="223" spans="2:23" ht="12.75" customHeight="1">
      <c r="B223" s="245"/>
      <c r="C223" s="245"/>
      <c r="D223" s="245"/>
      <c r="E223" s="245"/>
      <c r="F223" s="245"/>
      <c r="G223" s="245"/>
      <c r="H223" s="245"/>
      <c r="I223" s="245"/>
      <c r="J223" s="245"/>
      <c r="K223" s="245"/>
      <c r="L223" s="245"/>
      <c r="M223" s="245"/>
      <c r="N223" s="245"/>
      <c r="O223" s="245"/>
      <c r="P223" s="245"/>
      <c r="Q223" s="245"/>
      <c r="R223" s="245"/>
      <c r="S223" s="245"/>
      <c r="T223" s="245"/>
      <c r="U223" s="245"/>
      <c r="V223" s="245"/>
      <c r="W223" s="245"/>
    </row>
    <row r="224" spans="2:23" ht="12.75" customHeight="1">
      <c r="B224" s="245"/>
      <c r="C224" s="245"/>
      <c r="D224" s="245"/>
      <c r="E224" s="245"/>
      <c r="F224" s="245"/>
      <c r="G224" s="245"/>
      <c r="H224" s="245"/>
      <c r="I224" s="245"/>
      <c r="J224" s="245"/>
      <c r="K224" s="245"/>
      <c r="L224" s="245"/>
      <c r="M224" s="245"/>
      <c r="N224" s="245"/>
      <c r="O224" s="245"/>
      <c r="P224" s="245"/>
      <c r="Q224" s="245"/>
      <c r="R224" s="245"/>
      <c r="S224" s="245"/>
      <c r="T224" s="245"/>
      <c r="U224" s="245"/>
      <c r="V224" s="245"/>
      <c r="W224" s="245"/>
    </row>
    <row r="225" spans="2:23" ht="12.75" customHeight="1">
      <c r="B225" s="245"/>
      <c r="C225" s="245"/>
      <c r="D225" s="245"/>
      <c r="E225" s="245"/>
      <c r="F225" s="245"/>
      <c r="G225" s="245"/>
      <c r="H225" s="245"/>
      <c r="I225" s="245"/>
      <c r="J225" s="245"/>
      <c r="K225" s="245"/>
      <c r="L225" s="245"/>
      <c r="M225" s="245"/>
      <c r="N225" s="245"/>
      <c r="O225" s="245"/>
      <c r="P225" s="245"/>
      <c r="Q225" s="245"/>
      <c r="R225" s="245"/>
      <c r="S225" s="245"/>
      <c r="T225" s="245"/>
      <c r="U225" s="245"/>
      <c r="V225" s="245"/>
      <c r="W225" s="245"/>
    </row>
    <row r="226" spans="2:23" ht="12.75" customHeight="1">
      <c r="B226" s="245"/>
      <c r="C226" s="245"/>
      <c r="D226" s="245"/>
      <c r="E226" s="245"/>
      <c r="F226" s="245"/>
      <c r="G226" s="245"/>
      <c r="H226" s="245"/>
      <c r="I226" s="245"/>
      <c r="J226" s="245"/>
      <c r="K226" s="245"/>
      <c r="L226" s="245"/>
      <c r="M226" s="245"/>
      <c r="N226" s="245"/>
      <c r="O226" s="245"/>
      <c r="P226" s="245"/>
      <c r="Q226" s="245"/>
      <c r="R226" s="245"/>
      <c r="S226" s="245"/>
      <c r="T226" s="245"/>
      <c r="U226" s="245"/>
      <c r="V226" s="245"/>
      <c r="W226" s="245"/>
    </row>
    <row r="227" spans="2:23" ht="12.75" customHeight="1"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  <c r="L227" s="245"/>
      <c r="M227" s="245"/>
      <c r="N227" s="245"/>
      <c r="O227" s="245"/>
      <c r="P227" s="245"/>
      <c r="Q227" s="245"/>
      <c r="R227" s="245"/>
      <c r="S227" s="245"/>
      <c r="T227" s="245"/>
      <c r="U227" s="245"/>
      <c r="V227" s="245"/>
      <c r="W227" s="245"/>
    </row>
    <row r="228" spans="2:23" ht="12.75" customHeight="1">
      <c r="B228" s="245"/>
      <c r="C228" s="245"/>
      <c r="D228" s="245"/>
      <c r="E228" s="245"/>
      <c r="F228" s="245"/>
      <c r="G228" s="245"/>
      <c r="H228" s="245"/>
      <c r="I228" s="245"/>
      <c r="J228" s="245"/>
      <c r="K228" s="245"/>
      <c r="L228" s="245"/>
      <c r="M228" s="245"/>
      <c r="N228" s="245"/>
      <c r="O228" s="245"/>
      <c r="P228" s="245"/>
      <c r="Q228" s="245"/>
      <c r="R228" s="245"/>
      <c r="S228" s="245"/>
      <c r="T228" s="245"/>
      <c r="U228" s="245"/>
      <c r="V228" s="245"/>
      <c r="W228" s="245"/>
    </row>
    <row r="229" spans="2:23" ht="12.75" customHeight="1">
      <c r="B229" s="245"/>
      <c r="C229" s="245"/>
      <c r="D229" s="245"/>
      <c r="E229" s="245"/>
      <c r="F229" s="245"/>
      <c r="G229" s="245"/>
      <c r="H229" s="245"/>
      <c r="I229" s="245"/>
      <c r="J229" s="245"/>
      <c r="K229" s="245"/>
      <c r="L229" s="245"/>
      <c r="M229" s="245"/>
      <c r="N229" s="245"/>
      <c r="O229" s="245"/>
      <c r="P229" s="245"/>
      <c r="Q229" s="245"/>
      <c r="R229" s="245"/>
      <c r="S229" s="245"/>
      <c r="T229" s="245"/>
      <c r="U229" s="245"/>
      <c r="V229" s="245"/>
      <c r="W229" s="245"/>
    </row>
    <row r="230" spans="2:23" ht="12.75" customHeight="1">
      <c r="B230" s="245"/>
      <c r="C230" s="245"/>
      <c r="D230" s="245"/>
      <c r="E230" s="245"/>
      <c r="F230" s="245"/>
      <c r="G230" s="245"/>
      <c r="H230" s="245"/>
      <c r="I230" s="245"/>
      <c r="J230" s="245"/>
      <c r="K230" s="245"/>
      <c r="L230" s="245"/>
      <c r="M230" s="245"/>
      <c r="N230" s="245"/>
      <c r="O230" s="245"/>
      <c r="P230" s="245"/>
      <c r="Q230" s="245"/>
      <c r="R230" s="245"/>
      <c r="S230" s="245"/>
      <c r="T230" s="245"/>
      <c r="U230" s="245"/>
      <c r="V230" s="245"/>
      <c r="W230" s="245"/>
    </row>
    <row r="231" spans="2:23" ht="12.75" customHeight="1">
      <c r="B231" s="245"/>
      <c r="C231" s="245"/>
      <c r="D231" s="245"/>
      <c r="E231" s="245"/>
      <c r="F231" s="245"/>
      <c r="G231" s="245"/>
      <c r="H231" s="245"/>
      <c r="I231" s="245"/>
      <c r="J231" s="245"/>
      <c r="K231" s="245"/>
      <c r="L231" s="245"/>
      <c r="M231" s="245"/>
      <c r="N231" s="245"/>
      <c r="O231" s="245"/>
      <c r="P231" s="245"/>
      <c r="Q231" s="245"/>
      <c r="R231" s="245"/>
      <c r="S231" s="245"/>
      <c r="T231" s="245"/>
      <c r="U231" s="245"/>
      <c r="V231" s="245"/>
      <c r="W231" s="245"/>
    </row>
    <row r="232" spans="2:23" ht="12.75" customHeight="1">
      <c r="B232" s="245"/>
      <c r="C232" s="245"/>
      <c r="D232" s="245"/>
      <c r="E232" s="245"/>
      <c r="F232" s="245"/>
      <c r="G232" s="245"/>
      <c r="H232" s="245"/>
      <c r="I232" s="245"/>
      <c r="J232" s="245"/>
      <c r="K232" s="245"/>
      <c r="L232" s="245"/>
      <c r="M232" s="245"/>
      <c r="N232" s="245"/>
      <c r="O232" s="245"/>
      <c r="P232" s="245"/>
      <c r="Q232" s="245"/>
      <c r="R232" s="245"/>
      <c r="S232" s="245"/>
      <c r="T232" s="245"/>
      <c r="U232" s="245"/>
      <c r="V232" s="245"/>
      <c r="W232" s="245"/>
    </row>
    <row r="233" spans="2:23" ht="12.75" customHeight="1">
      <c r="B233" s="245"/>
      <c r="C233" s="245"/>
      <c r="D233" s="245"/>
      <c r="E233" s="245"/>
      <c r="F233" s="245"/>
      <c r="G233" s="245"/>
      <c r="H233" s="245"/>
      <c r="I233" s="245"/>
      <c r="J233" s="245"/>
      <c r="K233" s="245"/>
      <c r="L233" s="245"/>
      <c r="M233" s="245"/>
      <c r="N233" s="245"/>
      <c r="O233" s="245"/>
      <c r="P233" s="245"/>
      <c r="Q233" s="245"/>
      <c r="R233" s="245"/>
      <c r="S233" s="245"/>
      <c r="T233" s="245"/>
      <c r="U233" s="245"/>
      <c r="V233" s="245"/>
      <c r="W233" s="245"/>
    </row>
    <row r="234" spans="2:23" ht="12.75" customHeight="1">
      <c r="B234" s="245"/>
      <c r="C234" s="245"/>
      <c r="D234" s="245"/>
      <c r="E234" s="245"/>
      <c r="F234" s="245"/>
      <c r="G234" s="245"/>
      <c r="H234" s="245"/>
      <c r="I234" s="245"/>
      <c r="J234" s="245"/>
      <c r="K234" s="245"/>
      <c r="L234" s="245"/>
      <c r="M234" s="245"/>
      <c r="N234" s="245"/>
      <c r="O234" s="245"/>
      <c r="P234" s="245"/>
      <c r="Q234" s="245"/>
      <c r="R234" s="245"/>
      <c r="S234" s="245"/>
      <c r="T234" s="245"/>
      <c r="U234" s="245"/>
      <c r="V234" s="245"/>
      <c r="W234" s="245"/>
    </row>
    <row r="235" spans="2:23" ht="12.75" customHeight="1">
      <c r="B235" s="245"/>
      <c r="C235" s="245"/>
      <c r="D235" s="245"/>
      <c r="E235" s="245"/>
      <c r="F235" s="245"/>
      <c r="G235" s="245"/>
      <c r="H235" s="245"/>
      <c r="I235" s="245"/>
      <c r="J235" s="245"/>
      <c r="K235" s="245"/>
      <c r="L235" s="245"/>
      <c r="M235" s="245"/>
      <c r="N235" s="245"/>
      <c r="O235" s="245"/>
      <c r="P235" s="245"/>
      <c r="Q235" s="245"/>
      <c r="R235" s="245"/>
      <c r="S235" s="245"/>
      <c r="T235" s="245"/>
      <c r="U235" s="245"/>
      <c r="V235" s="245"/>
      <c r="W235" s="245"/>
    </row>
    <row r="236" spans="2:23" ht="12.75" customHeight="1">
      <c r="B236" s="245"/>
      <c r="C236" s="245"/>
      <c r="D236" s="245"/>
      <c r="E236" s="245"/>
      <c r="F236" s="245"/>
      <c r="G236" s="245"/>
      <c r="H236" s="245"/>
      <c r="I236" s="245"/>
      <c r="J236" s="245"/>
      <c r="K236" s="245"/>
      <c r="L236" s="245"/>
      <c r="M236" s="245"/>
      <c r="N236" s="245"/>
      <c r="O236" s="245"/>
      <c r="P236" s="245"/>
      <c r="Q236" s="245"/>
      <c r="R236" s="245"/>
      <c r="S236" s="245"/>
      <c r="T236" s="245"/>
      <c r="U236" s="245"/>
      <c r="V236" s="245"/>
      <c r="W236" s="245"/>
    </row>
    <row r="237" spans="2:23" ht="12.75" customHeight="1">
      <c r="B237" s="245"/>
      <c r="C237" s="245"/>
      <c r="D237" s="245"/>
      <c r="E237" s="245"/>
      <c r="F237" s="245"/>
      <c r="G237" s="245"/>
      <c r="H237" s="245"/>
      <c r="I237" s="245"/>
      <c r="J237" s="245"/>
      <c r="K237" s="245"/>
      <c r="L237" s="245"/>
      <c r="M237" s="245"/>
      <c r="N237" s="245"/>
      <c r="O237" s="245"/>
      <c r="P237" s="245"/>
      <c r="Q237" s="245"/>
      <c r="R237" s="245"/>
      <c r="S237" s="245"/>
      <c r="T237" s="245"/>
      <c r="U237" s="245"/>
      <c r="V237" s="245"/>
      <c r="W237" s="245"/>
    </row>
    <row r="238" spans="2:23" ht="12.75" customHeight="1">
      <c r="B238" s="245"/>
      <c r="C238" s="245"/>
      <c r="D238" s="245"/>
      <c r="E238" s="245"/>
      <c r="F238" s="245"/>
      <c r="G238" s="245"/>
      <c r="H238" s="245"/>
      <c r="I238" s="245"/>
      <c r="J238" s="245"/>
      <c r="K238" s="245"/>
      <c r="L238" s="245"/>
      <c r="M238" s="245"/>
      <c r="N238" s="245"/>
      <c r="O238" s="245"/>
      <c r="P238" s="245"/>
      <c r="Q238" s="245"/>
      <c r="R238" s="245"/>
      <c r="S238" s="245"/>
      <c r="T238" s="245"/>
      <c r="U238" s="245"/>
      <c r="V238" s="245"/>
      <c r="W238" s="245"/>
    </row>
    <row r="239" spans="2:23" ht="12.75" customHeight="1">
      <c r="B239" s="245"/>
      <c r="C239" s="245"/>
      <c r="D239" s="245"/>
      <c r="E239" s="245"/>
      <c r="F239" s="245"/>
      <c r="G239" s="245"/>
      <c r="H239" s="245"/>
      <c r="I239" s="245"/>
      <c r="J239" s="245"/>
      <c r="K239" s="245"/>
      <c r="L239" s="245"/>
      <c r="M239" s="245"/>
      <c r="N239" s="245"/>
      <c r="O239" s="245"/>
      <c r="P239" s="245"/>
      <c r="Q239" s="245"/>
      <c r="R239" s="245"/>
      <c r="S239" s="245"/>
      <c r="T239" s="245"/>
      <c r="U239" s="245"/>
      <c r="V239" s="245"/>
      <c r="W239" s="245"/>
    </row>
    <row r="240" spans="2:23" ht="12.75" customHeight="1">
      <c r="B240" s="245"/>
      <c r="C240" s="245"/>
      <c r="D240" s="245"/>
      <c r="E240" s="245"/>
      <c r="F240" s="245"/>
      <c r="G240" s="245"/>
      <c r="H240" s="245"/>
      <c r="I240" s="245"/>
      <c r="J240" s="245"/>
      <c r="K240" s="245"/>
      <c r="L240" s="245"/>
      <c r="M240" s="245"/>
      <c r="N240" s="245"/>
      <c r="O240" s="245"/>
      <c r="P240" s="245"/>
      <c r="Q240" s="245"/>
      <c r="R240" s="245"/>
      <c r="S240" s="245"/>
      <c r="T240" s="245"/>
      <c r="U240" s="245"/>
      <c r="V240" s="245"/>
      <c r="W240" s="245"/>
    </row>
    <row r="241" spans="2:23" ht="12.75" customHeight="1">
      <c r="B241" s="245"/>
      <c r="C241" s="245"/>
      <c r="D241" s="245"/>
      <c r="E241" s="245"/>
      <c r="F241" s="245"/>
      <c r="G241" s="245"/>
      <c r="H241" s="245"/>
      <c r="I241" s="245"/>
      <c r="J241" s="245"/>
      <c r="K241" s="245"/>
      <c r="L241" s="245"/>
      <c r="M241" s="245"/>
      <c r="N241" s="245"/>
      <c r="O241" s="245"/>
      <c r="P241" s="245"/>
      <c r="Q241" s="245"/>
      <c r="R241" s="245"/>
      <c r="S241" s="245"/>
      <c r="T241" s="245"/>
      <c r="U241" s="245"/>
      <c r="V241" s="245"/>
      <c r="W241" s="245"/>
    </row>
    <row r="242" spans="2:23" ht="12.75" customHeight="1">
      <c r="B242" s="245"/>
      <c r="C242" s="245"/>
      <c r="D242" s="245"/>
      <c r="E242" s="245"/>
      <c r="F242" s="245"/>
      <c r="G242" s="245"/>
      <c r="H242" s="245"/>
      <c r="I242" s="245"/>
      <c r="J242" s="245"/>
      <c r="K242" s="245"/>
      <c r="L242" s="245"/>
      <c r="M242" s="245"/>
      <c r="N242" s="245"/>
      <c r="O242" s="245"/>
      <c r="P242" s="245"/>
      <c r="Q242" s="245"/>
      <c r="R242" s="245"/>
      <c r="S242" s="245"/>
      <c r="T242" s="245"/>
      <c r="U242" s="245"/>
      <c r="V242" s="245"/>
      <c r="W242" s="245"/>
    </row>
    <row r="243" spans="2:23" ht="12.75" customHeight="1">
      <c r="B243" s="245"/>
      <c r="C243" s="245"/>
      <c r="D243" s="245"/>
      <c r="E243" s="245"/>
      <c r="F243" s="245"/>
      <c r="G243" s="245"/>
      <c r="H243" s="245"/>
      <c r="I243" s="245"/>
      <c r="J243" s="245"/>
      <c r="K243" s="245"/>
      <c r="L243" s="245"/>
      <c r="M243" s="245"/>
      <c r="N243" s="245"/>
      <c r="O243" s="245"/>
      <c r="P243" s="245"/>
      <c r="Q243" s="245"/>
      <c r="R243" s="245"/>
      <c r="S243" s="245"/>
      <c r="T243" s="245"/>
      <c r="U243" s="245"/>
      <c r="V243" s="245"/>
      <c r="W243" s="245"/>
    </row>
    <row r="244" spans="2:23" ht="12.75" customHeight="1">
      <c r="B244" s="245"/>
      <c r="C244" s="245"/>
      <c r="D244" s="245"/>
      <c r="E244" s="245"/>
      <c r="F244" s="245"/>
      <c r="G244" s="245"/>
      <c r="H244" s="245"/>
      <c r="I244" s="245"/>
      <c r="J244" s="245"/>
      <c r="K244" s="245"/>
      <c r="L244" s="245"/>
      <c r="M244" s="245"/>
      <c r="N244" s="245"/>
      <c r="O244" s="245"/>
      <c r="P244" s="245"/>
      <c r="Q244" s="245"/>
      <c r="R244" s="245"/>
      <c r="S244" s="245"/>
      <c r="T244" s="245"/>
      <c r="U244" s="245"/>
      <c r="V244" s="245"/>
      <c r="W244" s="245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62"/>
  <sheetViews>
    <sheetView view="pageBreakPreview" zoomScaleSheetLayoutView="100" workbookViewId="0">
      <selection activeCell="A21" sqref="A21:XFD21"/>
    </sheetView>
  </sheetViews>
  <sheetFormatPr defaultColWidth="9.140625" defaultRowHeight="14.25"/>
  <cols>
    <col min="1" max="1" width="5.42578125" style="484" customWidth="1"/>
    <col min="2" max="2" width="5" style="484" customWidth="1"/>
    <col min="3" max="3" width="20.140625" style="484" customWidth="1"/>
    <col min="4" max="4" width="3.28515625" style="484" customWidth="1"/>
    <col min="5" max="5" width="14" style="62" customWidth="1"/>
    <col min="6" max="6" width="9.140625" style="484"/>
    <col min="7" max="7" width="10.28515625" style="484" customWidth="1"/>
    <col min="8" max="13" width="9.140625" style="484"/>
    <col min="14" max="15" width="3.42578125" style="484" customWidth="1"/>
    <col min="16" max="16" width="5.5703125" style="484" customWidth="1"/>
    <col min="17" max="16384" width="9.140625" style="484"/>
  </cols>
  <sheetData>
    <row r="1" spans="1:16" ht="25.5">
      <c r="A1" s="716" t="str">
        <f>封面!$A$4</f>
        <v>彰化縣地方教育發展基金－彰化縣秀水鄉馬興國民小學</v>
      </c>
      <c r="B1" s="716"/>
      <c r="C1" s="716"/>
      <c r="D1" s="716"/>
      <c r="E1" s="716"/>
      <c r="F1" s="716"/>
      <c r="G1" s="716"/>
      <c r="H1" s="716"/>
      <c r="I1" s="716"/>
      <c r="J1" s="716"/>
      <c r="K1" s="716"/>
      <c r="L1" s="716"/>
      <c r="M1" s="716"/>
      <c r="N1" s="716"/>
      <c r="O1" s="716"/>
    </row>
    <row r="2" spans="1:16" ht="19.5">
      <c r="A2" s="717" t="s">
        <v>119</v>
      </c>
      <c r="B2" s="717"/>
      <c r="C2" s="717"/>
      <c r="D2" s="717"/>
      <c r="E2" s="717"/>
      <c r="F2" s="717"/>
      <c r="G2" s="717"/>
      <c r="H2" s="717"/>
      <c r="I2" s="717"/>
      <c r="J2" s="717"/>
      <c r="K2" s="717"/>
      <c r="L2" s="717"/>
      <c r="M2" s="717"/>
      <c r="N2" s="717"/>
      <c r="O2" s="717"/>
    </row>
    <row r="3" spans="1:16" ht="15.75">
      <c r="A3" s="718" t="str">
        <f>封面!$E$10&amp;封面!$H$10&amp;封面!$I$10&amp;封面!$J$10&amp;封面!$K$10&amp;封面!L10</f>
        <v>中華民國111年12月份</v>
      </c>
      <c r="B3" s="718"/>
      <c r="C3" s="718"/>
      <c r="D3" s="718"/>
      <c r="E3" s="718"/>
      <c r="F3" s="718"/>
      <c r="G3" s="718"/>
      <c r="H3" s="718"/>
      <c r="I3" s="718"/>
      <c r="J3" s="718"/>
      <c r="K3" s="718"/>
      <c r="L3" s="718"/>
      <c r="M3" s="718"/>
      <c r="N3" s="718"/>
      <c r="O3" s="718"/>
    </row>
    <row r="4" spans="1:16" s="485" customFormat="1" ht="16.5">
      <c r="A4" s="485" t="s">
        <v>224</v>
      </c>
      <c r="B4" s="719" t="s">
        <v>225</v>
      </c>
      <c r="C4" s="719"/>
      <c r="D4" s="719"/>
      <c r="E4" s="719"/>
      <c r="F4" s="719"/>
      <c r="G4" s="719"/>
      <c r="H4" s="719"/>
      <c r="I4" s="719"/>
      <c r="J4" s="719"/>
      <c r="K4" s="719"/>
      <c r="L4" s="719"/>
      <c r="M4" s="719"/>
      <c r="N4" s="719"/>
      <c r="O4" s="719"/>
      <c r="P4" s="719"/>
    </row>
    <row r="5" spans="1:16" s="485" customFormat="1" ht="16.5">
      <c r="B5" s="485" t="s">
        <v>447</v>
      </c>
      <c r="C5" s="485" t="s">
        <v>448</v>
      </c>
      <c r="E5" s="60" t="s">
        <v>197</v>
      </c>
    </row>
    <row r="6" spans="1:16" s="485" customFormat="1" ht="16.5">
      <c r="D6" s="105" t="s">
        <v>449</v>
      </c>
      <c r="E6" s="60" t="s">
        <v>198</v>
      </c>
      <c r="H6" s="217" t="s">
        <v>464</v>
      </c>
      <c r="I6" s="345"/>
      <c r="J6" s="345"/>
      <c r="K6" s="345"/>
      <c r="L6" s="345"/>
      <c r="M6" s="345"/>
      <c r="N6" s="345"/>
      <c r="O6" s="345"/>
      <c r="P6" s="345"/>
    </row>
    <row r="7" spans="1:16" s="485" customFormat="1" ht="16.5">
      <c r="B7" s="485" t="s">
        <v>450</v>
      </c>
      <c r="C7" s="485" t="s">
        <v>451</v>
      </c>
      <c r="E7" s="60" t="s">
        <v>197</v>
      </c>
      <c r="H7" s="345"/>
      <c r="I7" s="345"/>
      <c r="J7" s="345"/>
      <c r="K7" s="345"/>
      <c r="L7" s="345"/>
      <c r="M7" s="345"/>
      <c r="N7" s="345"/>
      <c r="O7" s="345"/>
      <c r="P7" s="345"/>
    </row>
    <row r="8" spans="1:16" s="485" customFormat="1" ht="16.5">
      <c r="D8" s="105" t="s">
        <v>452</v>
      </c>
      <c r="E8" s="60" t="s">
        <v>198</v>
      </c>
      <c r="H8" s="217" t="s">
        <v>462</v>
      </c>
      <c r="I8" s="345"/>
      <c r="J8" s="345"/>
      <c r="K8" s="345"/>
      <c r="L8" s="345"/>
      <c r="M8" s="345"/>
      <c r="N8" s="345"/>
      <c r="O8" s="345"/>
      <c r="P8" s="345"/>
    </row>
    <row r="9" spans="1:16" s="485" customFormat="1" ht="16.5">
      <c r="B9" s="485" t="s">
        <v>298</v>
      </c>
      <c r="C9" s="485" t="s">
        <v>227</v>
      </c>
      <c r="D9" s="546"/>
      <c r="E9" s="60" t="s">
        <v>197</v>
      </c>
      <c r="H9" s="345"/>
      <c r="I9" s="345"/>
      <c r="J9" s="345"/>
      <c r="K9" s="345"/>
      <c r="L9" s="345"/>
      <c r="M9" s="345"/>
      <c r="N9" s="345"/>
      <c r="O9" s="345"/>
      <c r="P9" s="345"/>
    </row>
    <row r="10" spans="1:16" s="485" customFormat="1" ht="16.5">
      <c r="D10" s="105" t="s">
        <v>226</v>
      </c>
      <c r="E10" s="60" t="s">
        <v>198</v>
      </c>
      <c r="H10" s="217" t="s">
        <v>463</v>
      </c>
      <c r="I10" s="345"/>
      <c r="J10" s="345"/>
      <c r="K10" s="345"/>
      <c r="L10" s="345"/>
      <c r="M10" s="345"/>
      <c r="N10" s="345"/>
      <c r="O10" s="345"/>
      <c r="P10" s="345"/>
    </row>
    <row r="11" spans="1:16" s="485" customFormat="1" ht="16.5">
      <c r="B11" s="485" t="s">
        <v>299</v>
      </c>
      <c r="C11" s="485" t="s">
        <v>228</v>
      </c>
      <c r="D11" s="105" t="s">
        <v>226</v>
      </c>
      <c r="E11" s="60" t="s">
        <v>197</v>
      </c>
      <c r="H11" s="345"/>
      <c r="I11" s="345"/>
      <c r="J11" s="345"/>
      <c r="K11" s="345"/>
      <c r="L11" s="345"/>
      <c r="M11" s="345"/>
      <c r="N11" s="345"/>
      <c r="O11" s="345"/>
      <c r="P11" s="345"/>
    </row>
    <row r="12" spans="1:16" s="485" customFormat="1" ht="16.5">
      <c r="E12" s="60" t="s">
        <v>198</v>
      </c>
      <c r="H12" s="345"/>
      <c r="I12" s="345"/>
      <c r="J12" s="345"/>
      <c r="K12" s="345"/>
      <c r="L12" s="345"/>
      <c r="M12" s="345"/>
      <c r="N12" s="345"/>
      <c r="O12" s="345"/>
      <c r="P12" s="345"/>
    </row>
    <row r="13" spans="1:16" s="485" customFormat="1" ht="16.5">
      <c r="B13" s="485" t="s">
        <v>300</v>
      </c>
      <c r="C13" s="486" t="s">
        <v>229</v>
      </c>
      <c r="E13" s="504" t="s">
        <v>197</v>
      </c>
      <c r="H13" s="345"/>
      <c r="I13" s="345"/>
      <c r="J13" s="345"/>
      <c r="K13" s="345"/>
      <c r="L13" s="345"/>
      <c r="M13" s="345"/>
      <c r="N13" s="345"/>
      <c r="O13" s="345"/>
      <c r="P13" s="345"/>
    </row>
    <row r="14" spans="1:16" s="485" customFormat="1" ht="16.5" customHeight="1">
      <c r="C14" s="486"/>
      <c r="D14" s="389" t="s">
        <v>226</v>
      </c>
      <c r="E14" s="505" t="s">
        <v>198</v>
      </c>
      <c r="H14" s="720" t="s">
        <v>302</v>
      </c>
      <c r="I14" s="720"/>
      <c r="J14" s="720"/>
      <c r="K14" s="720"/>
      <c r="L14" s="720"/>
      <c r="M14" s="720"/>
      <c r="N14" s="720"/>
      <c r="O14" s="720"/>
      <c r="P14" s="720"/>
    </row>
    <row r="15" spans="1:16" s="485" customFormat="1" ht="16.5" customHeight="1">
      <c r="C15" s="486"/>
      <c r="D15" s="391"/>
      <c r="E15" s="390"/>
      <c r="H15" s="720"/>
      <c r="I15" s="720"/>
      <c r="J15" s="720"/>
      <c r="K15" s="720"/>
      <c r="L15" s="720"/>
      <c r="M15" s="720"/>
      <c r="N15" s="720"/>
      <c r="O15" s="720"/>
      <c r="P15" s="720"/>
    </row>
    <row r="16" spans="1:16" s="485" customFormat="1" ht="15.75" customHeight="1">
      <c r="C16" s="486"/>
      <c r="D16" s="486"/>
      <c r="E16" s="376"/>
    </row>
    <row r="17" spans="1:16" s="485" customFormat="1" ht="16.5">
      <c r="A17" s="485" t="s">
        <v>230</v>
      </c>
      <c r="B17" s="719" t="s">
        <v>231</v>
      </c>
      <c r="C17" s="719"/>
      <c r="D17" s="719"/>
      <c r="E17" s="719"/>
      <c r="F17" s="719"/>
      <c r="G17" s="719"/>
      <c r="H17" s="719"/>
      <c r="I17" s="719"/>
      <c r="J17" s="719"/>
      <c r="K17" s="719"/>
      <c r="L17" s="719"/>
      <c r="M17" s="719"/>
      <c r="N17" s="719"/>
    </row>
    <row r="18" spans="1:16" s="485" customFormat="1" ht="16.5">
      <c r="B18" s="485" t="s">
        <v>232</v>
      </c>
      <c r="C18" s="486" t="s">
        <v>233</v>
      </c>
      <c r="D18" s="486"/>
      <c r="E18" s="392"/>
    </row>
    <row r="19" spans="1:16" s="485" customFormat="1" ht="16.5">
      <c r="C19" s="486" t="s">
        <v>234</v>
      </c>
      <c r="D19" s="389" t="s">
        <v>226</v>
      </c>
      <c r="E19" s="392" t="s">
        <v>235</v>
      </c>
    </row>
    <row r="20" spans="1:16" s="485" customFormat="1" ht="16.5">
      <c r="C20" s="486"/>
      <c r="D20" s="486"/>
      <c r="E20" s="392" t="s">
        <v>236</v>
      </c>
      <c r="H20" s="217"/>
    </row>
    <row r="21" spans="1:16" s="485" customFormat="1" ht="16.5">
      <c r="B21" s="485" t="s">
        <v>237</v>
      </c>
      <c r="C21" s="486" t="s">
        <v>238</v>
      </c>
      <c r="D21" s="486"/>
      <c r="E21" s="392"/>
    </row>
    <row r="22" spans="1:16" s="485" customFormat="1" ht="16.5">
      <c r="C22" s="486" t="s">
        <v>301</v>
      </c>
      <c r="D22" s="389" t="s">
        <v>226</v>
      </c>
      <c r="E22" s="392" t="s">
        <v>197</v>
      </c>
    </row>
    <row r="23" spans="1:16" s="485" customFormat="1" ht="16.5">
      <c r="E23" s="60" t="s">
        <v>198</v>
      </c>
      <c r="H23" s="715"/>
      <c r="I23" s="715"/>
      <c r="J23" s="715"/>
      <c r="K23" s="715"/>
      <c r="L23" s="715"/>
      <c r="M23" s="715"/>
      <c r="N23" s="715"/>
      <c r="O23" s="715"/>
      <c r="P23" s="715"/>
    </row>
    <row r="24" spans="1:16" s="485" customFormat="1" ht="16.5">
      <c r="E24" s="61"/>
      <c r="H24" s="715"/>
      <c r="I24" s="715"/>
      <c r="J24" s="715"/>
      <c r="K24" s="715"/>
      <c r="L24" s="715"/>
      <c r="M24" s="715"/>
      <c r="N24" s="715"/>
      <c r="O24" s="715"/>
      <c r="P24" s="715"/>
    </row>
    <row r="25" spans="1:16" s="485" customFormat="1" ht="16.5">
      <c r="E25" s="61"/>
    </row>
    <row r="26" spans="1:16" s="485" customFormat="1" ht="16.5">
      <c r="E26" s="61"/>
    </row>
    <row r="27" spans="1:16" s="485" customFormat="1" ht="16.5">
      <c r="E27" s="61"/>
    </row>
    <row r="28" spans="1:16" s="485" customFormat="1" ht="16.5">
      <c r="E28" s="61"/>
    </row>
    <row r="29" spans="1:16" s="485" customFormat="1" ht="16.5">
      <c r="E29" s="61"/>
    </row>
    <row r="30" spans="1:16" s="485" customFormat="1" ht="16.5">
      <c r="E30" s="61"/>
    </row>
    <row r="31" spans="1:16" s="485" customFormat="1" ht="16.5">
      <c r="E31" s="61"/>
    </row>
    <row r="32" spans="1:16" s="485" customFormat="1" ht="16.5">
      <c r="E32" s="61"/>
    </row>
    <row r="33" spans="5:5" s="485" customFormat="1" ht="16.5">
      <c r="E33" s="61"/>
    </row>
    <row r="34" spans="5:5" s="485" customFormat="1" ht="16.5">
      <c r="E34" s="61"/>
    </row>
    <row r="35" spans="5:5" s="485" customFormat="1" ht="16.5">
      <c r="E35" s="61"/>
    </row>
    <row r="36" spans="5:5" s="485" customFormat="1" ht="16.5">
      <c r="E36" s="61"/>
    </row>
    <row r="37" spans="5:5" s="485" customFormat="1" ht="16.5">
      <c r="E37" s="61"/>
    </row>
    <row r="38" spans="5:5" s="485" customFormat="1" ht="16.5">
      <c r="E38" s="61"/>
    </row>
    <row r="39" spans="5:5" s="485" customFormat="1" ht="16.5">
      <c r="E39" s="61"/>
    </row>
    <row r="40" spans="5:5" s="485" customFormat="1" ht="16.5">
      <c r="E40" s="61"/>
    </row>
    <row r="41" spans="5:5" s="485" customFormat="1" ht="16.5">
      <c r="E41" s="61"/>
    </row>
    <row r="42" spans="5:5" s="485" customFormat="1" ht="16.5">
      <c r="E42" s="61"/>
    </row>
    <row r="43" spans="5:5" s="485" customFormat="1" ht="16.5">
      <c r="E43" s="61"/>
    </row>
    <row r="44" spans="5:5" s="485" customFormat="1" ht="16.5">
      <c r="E44" s="61"/>
    </row>
    <row r="45" spans="5:5" s="485" customFormat="1" ht="16.5">
      <c r="E45" s="61"/>
    </row>
    <row r="46" spans="5:5" s="485" customFormat="1" ht="16.5">
      <c r="E46" s="61"/>
    </row>
    <row r="47" spans="5:5" s="485" customFormat="1" ht="16.5">
      <c r="E47" s="61"/>
    </row>
    <row r="48" spans="5:5" s="485" customFormat="1" ht="16.5">
      <c r="E48" s="61"/>
    </row>
    <row r="49" spans="5:5" s="485" customFormat="1" ht="16.5">
      <c r="E49" s="61"/>
    </row>
    <row r="50" spans="5:5" s="485" customFormat="1" ht="16.5">
      <c r="E50" s="61"/>
    </row>
    <row r="51" spans="5:5" s="485" customFormat="1" ht="16.5">
      <c r="E51" s="61"/>
    </row>
    <row r="52" spans="5:5" s="485" customFormat="1" ht="16.5">
      <c r="E52" s="61"/>
    </row>
    <row r="53" spans="5:5" s="485" customFormat="1" ht="16.5">
      <c r="E53" s="61"/>
    </row>
    <row r="54" spans="5:5" s="485" customFormat="1" ht="16.5">
      <c r="E54" s="61"/>
    </row>
    <row r="55" spans="5:5" s="485" customFormat="1" ht="16.5">
      <c r="E55" s="61"/>
    </row>
    <row r="56" spans="5:5" s="485" customFormat="1" ht="16.5">
      <c r="E56" s="61"/>
    </row>
    <row r="57" spans="5:5" s="485" customFormat="1" ht="16.5">
      <c r="E57" s="61"/>
    </row>
    <row r="58" spans="5:5" s="485" customFormat="1" ht="16.5">
      <c r="E58" s="61"/>
    </row>
    <row r="59" spans="5:5" s="485" customFormat="1" ht="16.5">
      <c r="E59" s="61"/>
    </row>
    <row r="60" spans="5:5" s="485" customFormat="1" ht="16.5">
      <c r="E60" s="61"/>
    </row>
    <row r="61" spans="5:5" s="485" customFormat="1" ht="16.5">
      <c r="E61" s="61"/>
    </row>
    <row r="62" spans="5:5" s="485" customFormat="1" ht="16.5">
      <c r="E62" s="61"/>
    </row>
  </sheetData>
  <mergeCells count="7">
    <mergeCell ref="H23:P24"/>
    <mergeCell ref="A1:O1"/>
    <mergeCell ref="A2:O2"/>
    <mergeCell ref="A3:O3"/>
    <mergeCell ref="B4:P4"/>
    <mergeCell ref="H14:P15"/>
    <mergeCell ref="B17:N17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42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A21" sqref="A21:XFD21"/>
      <selection pane="topRight" activeCell="A21" sqref="A21:XFD21"/>
      <selection pane="bottomLeft" activeCell="A21" sqref="A21:XFD21"/>
      <selection pane="bottomRight" activeCell="F10" sqref="F10:I10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691" t="str">
        <f>封面!$A$4</f>
        <v>彰化縣地方教育發展基金－彰化縣秀水鄉馬興國民小學</v>
      </c>
      <c r="B1" s="691"/>
      <c r="C1" s="691"/>
      <c r="D1" s="691"/>
      <c r="E1" s="691"/>
      <c r="F1" s="691"/>
      <c r="G1" s="691"/>
      <c r="H1" s="691"/>
      <c r="I1" s="607"/>
      <c r="J1" s="607"/>
      <c r="K1" s="607"/>
      <c r="L1" s="607"/>
      <c r="M1" s="607"/>
      <c r="N1" s="607"/>
    </row>
    <row r="2" spans="1:18" ht="19.5" hidden="1" customHeight="1">
      <c r="A2" s="338"/>
      <c r="B2" s="338"/>
      <c r="C2" s="338"/>
      <c r="D2" s="338"/>
      <c r="E2" s="338"/>
      <c r="F2" s="338"/>
      <c r="G2" s="338"/>
      <c r="H2" s="338"/>
    </row>
    <row r="3" spans="1:18" ht="14.25" hidden="1" customHeight="1"/>
    <row r="4" spans="1:18" ht="19.899999999999999" customHeight="1">
      <c r="A4" s="707" t="s">
        <v>317</v>
      </c>
      <c r="B4" s="707"/>
      <c r="C4" s="707"/>
      <c r="D4" s="707"/>
      <c r="E4" s="707"/>
      <c r="F4" s="707"/>
      <c r="G4" s="707"/>
      <c r="H4" s="707"/>
      <c r="I4" s="607"/>
      <c r="J4" s="607"/>
      <c r="K4" s="607"/>
      <c r="L4" s="607"/>
      <c r="M4" s="607"/>
      <c r="N4" s="607"/>
    </row>
    <row r="5" spans="1:18" ht="6.75" customHeight="1"/>
    <row r="6" spans="1:18" ht="16.5">
      <c r="A6" s="692" t="str">
        <f>封面!$E$10&amp;封面!$H$10&amp;封面!$I$10&amp;封面!$J$10&amp;封面!$K$10&amp;封面!$O$10&amp;"日"</f>
        <v>中華民國111年12月31日</v>
      </c>
      <c r="B6" s="692"/>
      <c r="C6" s="692"/>
      <c r="D6" s="692"/>
      <c r="E6" s="692"/>
      <c r="F6" s="692"/>
      <c r="G6" s="692"/>
      <c r="H6" s="692"/>
      <c r="I6" s="607"/>
      <c r="J6" s="607"/>
      <c r="K6" s="607"/>
      <c r="L6" s="607"/>
      <c r="M6" s="607"/>
      <c r="N6" s="607"/>
    </row>
    <row r="7" spans="1:18" ht="16.5">
      <c r="A7" s="633" t="s">
        <v>39</v>
      </c>
      <c r="B7" s="633"/>
      <c r="C7" s="633"/>
      <c r="D7" s="633"/>
      <c r="E7" s="633"/>
      <c r="F7" s="633"/>
      <c r="G7" s="633"/>
      <c r="H7" s="633"/>
      <c r="I7" s="607"/>
      <c r="J7" s="607"/>
      <c r="K7" s="607"/>
      <c r="L7" s="607"/>
      <c r="M7" s="607"/>
      <c r="N7" s="607"/>
    </row>
    <row r="8" spans="1:18" ht="6" hidden="1" customHeight="1"/>
    <row r="9" spans="1:18" s="351" customFormat="1" ht="21" customHeight="1">
      <c r="A9" s="726" t="s">
        <v>314</v>
      </c>
      <c r="B9" s="727"/>
      <c r="C9" s="727"/>
      <c r="D9" s="727"/>
      <c r="E9" s="727"/>
      <c r="F9" s="726" t="s">
        <v>201</v>
      </c>
      <c r="G9" s="727"/>
      <c r="H9" s="727"/>
      <c r="I9" s="727"/>
      <c r="J9" s="727"/>
      <c r="K9" s="727"/>
      <c r="L9" s="727"/>
      <c r="M9" s="727"/>
      <c r="N9" s="727"/>
      <c r="O9" s="350"/>
      <c r="P9" s="350"/>
      <c r="Q9" s="350"/>
      <c r="R9" s="350"/>
    </row>
    <row r="10" spans="1:18" s="351" customFormat="1" ht="21" customHeight="1">
      <c r="A10" s="727"/>
      <c r="B10" s="727"/>
      <c r="C10" s="727"/>
      <c r="D10" s="727"/>
      <c r="E10" s="727"/>
      <c r="F10" s="723" t="s">
        <v>315</v>
      </c>
      <c r="G10" s="724"/>
      <c r="H10" s="724"/>
      <c r="I10" s="725"/>
      <c r="J10" s="730" t="s">
        <v>316</v>
      </c>
      <c r="K10" s="730"/>
      <c r="L10" s="730"/>
      <c r="M10" s="730"/>
      <c r="N10" s="730"/>
    </row>
    <row r="11" spans="1:18" s="343" customFormat="1" ht="12.75" hidden="1" customHeight="1">
      <c r="A11" s="352"/>
      <c r="B11" s="353"/>
      <c r="C11" s="353"/>
      <c r="D11" s="353"/>
      <c r="E11" s="353"/>
      <c r="F11" s="7"/>
      <c r="G11" s="7"/>
      <c r="H11" s="341"/>
      <c r="I11" s="349"/>
      <c r="J11" s="354"/>
      <c r="K11" s="354"/>
      <c r="L11" s="354"/>
      <c r="M11" s="354"/>
      <c r="N11" s="355"/>
    </row>
    <row r="12" spans="1:18" s="343" customFormat="1" ht="12.75" hidden="1" customHeight="1">
      <c r="A12" s="352"/>
      <c r="B12" s="353"/>
      <c r="C12" s="353"/>
      <c r="D12" s="353"/>
      <c r="E12" s="353"/>
      <c r="F12" s="7"/>
      <c r="G12" s="7"/>
      <c r="H12" s="14"/>
      <c r="I12" s="14"/>
      <c r="J12" s="354"/>
      <c r="K12" s="354"/>
      <c r="L12" s="354"/>
      <c r="M12" s="354"/>
      <c r="N12" s="355"/>
    </row>
    <row r="13" spans="1:18" s="343" customFormat="1" ht="9" hidden="1" customHeight="1">
      <c r="A13" s="352"/>
      <c r="B13" s="353"/>
      <c r="C13" s="393"/>
      <c r="D13" s="393"/>
      <c r="E13" s="393"/>
      <c r="F13" s="7"/>
      <c r="G13" s="7"/>
      <c r="H13" s="11"/>
      <c r="I13" s="11"/>
      <c r="J13" s="354"/>
      <c r="K13" s="354"/>
      <c r="L13" s="354"/>
      <c r="M13" s="354"/>
      <c r="N13" s="355"/>
    </row>
    <row r="14" spans="1:18" s="525" customFormat="1" ht="14.85" customHeight="1">
      <c r="A14" s="728" t="s">
        <v>404</v>
      </c>
      <c r="B14" s="729"/>
      <c r="C14" s="729"/>
      <c r="D14" s="729"/>
      <c r="E14" s="518"/>
      <c r="F14" s="519"/>
      <c r="G14" s="520"/>
      <c r="H14" s="520"/>
      <c r="I14" s="521">
        <f>SUM(I15:I25)/2</f>
        <v>306606</v>
      </c>
      <c r="J14" s="522"/>
      <c r="K14" s="523"/>
      <c r="L14" s="523"/>
      <c r="M14" s="524"/>
      <c r="N14" s="521">
        <f>I14+[3]收支!N14</f>
        <v>38804593</v>
      </c>
    </row>
    <row r="15" spans="1:18" s="525" customFormat="1" ht="14.85" customHeight="1">
      <c r="A15" s="526"/>
      <c r="B15" s="721" t="s">
        <v>405</v>
      </c>
      <c r="C15" s="721"/>
      <c r="D15" s="721"/>
      <c r="E15" s="722"/>
      <c r="F15" s="527"/>
      <c r="G15" s="528"/>
      <c r="H15" s="528"/>
      <c r="I15" s="529">
        <f>I16</f>
        <v>18346</v>
      </c>
      <c r="J15" s="530"/>
      <c r="K15" s="531"/>
      <c r="L15" s="531"/>
      <c r="M15" s="532"/>
      <c r="N15" s="529">
        <f>I15+[3]收支!N15</f>
        <v>23986</v>
      </c>
    </row>
    <row r="16" spans="1:18" s="482" customFormat="1" ht="14.85" customHeight="1">
      <c r="A16" s="481"/>
      <c r="B16" s="476"/>
      <c r="C16" s="477" t="s">
        <v>406</v>
      </c>
      <c r="D16" s="477"/>
      <c r="E16" s="478"/>
      <c r="F16" s="435"/>
      <c r="G16" s="436"/>
      <c r="H16" s="436"/>
      <c r="I16" s="454">
        <v>18346</v>
      </c>
      <c r="J16" s="455"/>
      <c r="K16" s="456"/>
      <c r="L16" s="456"/>
      <c r="M16" s="457"/>
      <c r="N16" s="454">
        <f>I16+[3]收支!N16</f>
        <v>23986</v>
      </c>
    </row>
    <row r="17" spans="1:14" s="525" customFormat="1" ht="14.85" customHeight="1">
      <c r="A17" s="533"/>
      <c r="B17" s="721" t="s">
        <v>335</v>
      </c>
      <c r="C17" s="721"/>
      <c r="D17" s="721"/>
      <c r="E17" s="722"/>
      <c r="F17" s="527"/>
      <c r="G17" s="528"/>
      <c r="H17" s="528"/>
      <c r="I17" s="529">
        <f>SUM(I18:I21)</f>
        <v>27179</v>
      </c>
      <c r="J17" s="530"/>
      <c r="K17" s="531"/>
      <c r="L17" s="531"/>
      <c r="M17" s="532"/>
      <c r="N17" s="529">
        <f>I17+[3]收支!N17</f>
        <v>3742236</v>
      </c>
    </row>
    <row r="18" spans="1:14" s="556" customFormat="1" ht="14.85" customHeight="1">
      <c r="A18" s="547"/>
      <c r="B18" s="548"/>
      <c r="C18" s="477" t="s">
        <v>454</v>
      </c>
      <c r="D18" s="548"/>
      <c r="E18" s="549"/>
      <c r="F18" s="550"/>
      <c r="G18" s="551"/>
      <c r="H18" s="551"/>
      <c r="I18" s="552">
        <v>3270</v>
      </c>
      <c r="J18" s="553"/>
      <c r="K18" s="554"/>
      <c r="L18" s="554"/>
      <c r="M18" s="555"/>
      <c r="N18" s="454">
        <f>I18+[3]收支!N18</f>
        <v>7950</v>
      </c>
    </row>
    <row r="19" spans="1:14" s="482" customFormat="1" ht="16.5">
      <c r="A19" s="445"/>
      <c r="B19" s="476"/>
      <c r="C19" s="477" t="s">
        <v>407</v>
      </c>
      <c r="D19" s="477"/>
      <c r="E19" s="478"/>
      <c r="F19" s="435"/>
      <c r="G19" s="436"/>
      <c r="H19" s="436"/>
      <c r="I19" s="454"/>
      <c r="J19" s="455"/>
      <c r="K19" s="456"/>
      <c r="L19" s="456"/>
      <c r="M19" s="457"/>
      <c r="N19" s="454">
        <f>I19+[3]收支!N19</f>
        <v>0</v>
      </c>
    </row>
    <row r="20" spans="1:14" s="482" customFormat="1" ht="14.85" customHeight="1">
      <c r="A20" s="445"/>
      <c r="B20" s="476"/>
      <c r="C20" s="477" t="s">
        <v>408</v>
      </c>
      <c r="D20" s="477"/>
      <c r="E20" s="478"/>
      <c r="F20" s="435"/>
      <c r="G20" s="436"/>
      <c r="H20" s="436"/>
      <c r="I20" s="454">
        <v>409</v>
      </c>
      <c r="J20" s="455"/>
      <c r="K20" s="456"/>
      <c r="L20" s="456"/>
      <c r="M20" s="457"/>
      <c r="N20" s="454">
        <f>I20+[3]收支!N20</f>
        <v>473427</v>
      </c>
    </row>
    <row r="21" spans="1:14" s="482" customFormat="1" ht="14.85" customHeight="1">
      <c r="A21" s="445"/>
      <c r="B21" s="476"/>
      <c r="C21" s="477" t="s">
        <v>409</v>
      </c>
      <c r="D21" s="477"/>
      <c r="E21" s="478"/>
      <c r="F21" s="435"/>
      <c r="G21" s="436"/>
      <c r="H21" s="436"/>
      <c r="I21" s="454">
        <v>23500</v>
      </c>
      <c r="J21" s="455"/>
      <c r="K21" s="456"/>
      <c r="L21" s="456"/>
      <c r="M21" s="457"/>
      <c r="N21" s="454">
        <f>I21+[3]收支!N21</f>
        <v>3260859</v>
      </c>
    </row>
    <row r="22" spans="1:14" s="535" customFormat="1" ht="14.85" customHeight="1">
      <c r="A22" s="534"/>
      <c r="B22" s="721" t="s">
        <v>410</v>
      </c>
      <c r="C22" s="721"/>
      <c r="D22" s="721"/>
      <c r="E22" s="722"/>
      <c r="F22" s="527"/>
      <c r="G22" s="528"/>
      <c r="H22" s="528"/>
      <c r="I22" s="529">
        <f>I23</f>
        <v>258000</v>
      </c>
      <c r="J22" s="530"/>
      <c r="K22" s="531"/>
      <c r="L22" s="531"/>
      <c r="M22" s="532"/>
      <c r="N22" s="529">
        <f>I22+[3]收支!N22</f>
        <v>35023827</v>
      </c>
    </row>
    <row r="23" spans="1:14" s="483" customFormat="1" ht="14.85" customHeight="1">
      <c r="A23" s="446"/>
      <c r="B23" s="449"/>
      <c r="C23" s="450" t="s">
        <v>411</v>
      </c>
      <c r="D23" s="450"/>
      <c r="E23" s="451"/>
      <c r="F23" s="446"/>
      <c r="G23" s="447"/>
      <c r="H23" s="447"/>
      <c r="I23" s="452">
        <v>258000</v>
      </c>
      <c r="J23" s="445"/>
      <c r="K23" s="449"/>
      <c r="L23" s="449"/>
      <c r="M23" s="453"/>
      <c r="N23" s="452">
        <f>I23+[3]收支!N23</f>
        <v>35023827</v>
      </c>
    </row>
    <row r="24" spans="1:14" s="535" customFormat="1" ht="14.85" customHeight="1">
      <c r="A24" s="534"/>
      <c r="B24" s="536" t="s">
        <v>412</v>
      </c>
      <c r="C24" s="537"/>
      <c r="D24" s="537"/>
      <c r="E24" s="538"/>
      <c r="F24" s="534"/>
      <c r="G24" s="539"/>
      <c r="H24" s="539"/>
      <c r="I24" s="540">
        <f>I25</f>
        <v>3081</v>
      </c>
      <c r="J24" s="533"/>
      <c r="K24" s="536"/>
      <c r="L24" s="536"/>
      <c r="M24" s="541"/>
      <c r="N24" s="540">
        <f>I24+[3]收支!N24</f>
        <v>14544</v>
      </c>
    </row>
    <row r="25" spans="1:14" s="483" customFormat="1" ht="14.85" customHeight="1">
      <c r="A25" s="446"/>
      <c r="B25" s="449"/>
      <c r="C25" s="450" t="s">
        <v>413</v>
      </c>
      <c r="D25" s="450"/>
      <c r="E25" s="451"/>
      <c r="F25" s="446"/>
      <c r="G25" s="447"/>
      <c r="H25" s="447"/>
      <c r="I25" s="452">
        <v>3081</v>
      </c>
      <c r="J25" s="445"/>
      <c r="K25" s="449"/>
      <c r="L25" s="449"/>
      <c r="M25" s="453"/>
      <c r="N25" s="452">
        <f>I25+[3]收支!N25</f>
        <v>14544</v>
      </c>
    </row>
    <row r="26" spans="1:14" s="535" customFormat="1" ht="14.85" customHeight="1">
      <c r="A26" s="735" t="s">
        <v>336</v>
      </c>
      <c r="B26" s="721"/>
      <c r="C26" s="721"/>
      <c r="D26" s="721"/>
      <c r="E26" s="542"/>
      <c r="F26" s="527"/>
      <c r="G26" s="528"/>
      <c r="H26" s="528"/>
      <c r="I26" s="529">
        <f>SUM(I27:I36)/2</f>
        <v>972088</v>
      </c>
      <c r="J26" s="530"/>
      <c r="K26" s="531"/>
      <c r="L26" s="531"/>
      <c r="M26" s="532"/>
      <c r="N26" s="529">
        <f>I26+[3]收支!N26</f>
        <v>38556442</v>
      </c>
    </row>
    <row r="27" spans="1:14" s="535" customFormat="1" ht="14.85" customHeight="1">
      <c r="A27" s="534"/>
      <c r="B27" s="721" t="s">
        <v>414</v>
      </c>
      <c r="C27" s="721"/>
      <c r="D27" s="721"/>
      <c r="E27" s="722"/>
      <c r="F27" s="527"/>
      <c r="G27" s="528"/>
      <c r="H27" s="528"/>
      <c r="I27" s="529">
        <f>I28</f>
        <v>588111</v>
      </c>
      <c r="J27" s="530"/>
      <c r="K27" s="531"/>
      <c r="L27" s="531"/>
      <c r="M27" s="532"/>
      <c r="N27" s="529">
        <f>I27+[3]收支!N27</f>
        <v>34075176</v>
      </c>
    </row>
    <row r="28" spans="1:14" s="483" customFormat="1" ht="14.85" customHeight="1">
      <c r="A28" s="446"/>
      <c r="B28" s="476"/>
      <c r="C28" s="477" t="s">
        <v>414</v>
      </c>
      <c r="D28" s="477"/>
      <c r="E28" s="478"/>
      <c r="F28" s="435"/>
      <c r="G28" s="436"/>
      <c r="H28" s="436"/>
      <c r="I28" s="454">
        <v>588111</v>
      </c>
      <c r="J28" s="455"/>
      <c r="K28" s="456"/>
      <c r="L28" s="456"/>
      <c r="M28" s="457"/>
      <c r="N28" s="454">
        <f>I28+[3]收支!N28</f>
        <v>34075176</v>
      </c>
    </row>
    <row r="29" spans="1:14" s="535" customFormat="1" ht="14.85" customHeight="1">
      <c r="A29" s="534"/>
      <c r="B29" s="721" t="s">
        <v>415</v>
      </c>
      <c r="C29" s="721"/>
      <c r="D29" s="721"/>
      <c r="E29" s="722"/>
      <c r="F29" s="527"/>
      <c r="G29" s="528"/>
      <c r="H29" s="528"/>
      <c r="I29" s="529">
        <f>I30</f>
        <v>137477</v>
      </c>
      <c r="J29" s="530"/>
      <c r="K29" s="531"/>
      <c r="L29" s="531"/>
      <c r="M29" s="532"/>
      <c r="N29" s="529">
        <f>I29+[3]收支!N29</f>
        <v>1589210</v>
      </c>
    </row>
    <row r="30" spans="1:14" s="483" customFormat="1" ht="14.85" customHeight="1">
      <c r="A30" s="446"/>
      <c r="B30" s="476"/>
      <c r="C30" s="477" t="s">
        <v>415</v>
      </c>
      <c r="D30" s="477"/>
      <c r="E30" s="478"/>
      <c r="F30" s="435"/>
      <c r="G30" s="436"/>
      <c r="H30" s="436"/>
      <c r="I30" s="454">
        <v>137477</v>
      </c>
      <c r="J30" s="455"/>
      <c r="K30" s="456"/>
      <c r="L30" s="456"/>
      <c r="M30" s="457"/>
      <c r="N30" s="454">
        <f>I30+[3]收支!N30</f>
        <v>1589210</v>
      </c>
    </row>
    <row r="31" spans="1:14" s="535" customFormat="1" ht="14.85" customHeight="1">
      <c r="A31" s="534"/>
      <c r="B31" s="543" t="s">
        <v>416</v>
      </c>
      <c r="C31" s="544"/>
      <c r="D31" s="544"/>
      <c r="E31" s="545"/>
      <c r="F31" s="527"/>
      <c r="G31" s="528"/>
      <c r="H31" s="528"/>
      <c r="I31" s="529">
        <f>I32</f>
        <v>0</v>
      </c>
      <c r="J31" s="530"/>
      <c r="K31" s="531"/>
      <c r="L31" s="531"/>
      <c r="M31" s="532"/>
      <c r="N31" s="529">
        <f>I31+[3]收支!N31</f>
        <v>4652</v>
      </c>
    </row>
    <row r="32" spans="1:14" s="483" customFormat="1" ht="14.85" customHeight="1">
      <c r="A32" s="446"/>
      <c r="B32" s="476"/>
      <c r="C32" s="477" t="s">
        <v>417</v>
      </c>
      <c r="D32" s="477"/>
      <c r="E32" s="478"/>
      <c r="F32" s="435"/>
      <c r="G32" s="436"/>
      <c r="H32" s="436"/>
      <c r="I32" s="454"/>
      <c r="J32" s="455"/>
      <c r="K32" s="456"/>
      <c r="L32" s="456"/>
      <c r="M32" s="457"/>
      <c r="N32" s="454">
        <f>I32+[3]收支!N32</f>
        <v>4652</v>
      </c>
    </row>
    <row r="33" spans="1:14" s="535" customFormat="1" ht="14.85" customHeight="1">
      <c r="A33" s="534"/>
      <c r="B33" s="721" t="s">
        <v>418</v>
      </c>
      <c r="C33" s="721"/>
      <c r="D33" s="721"/>
      <c r="E33" s="722"/>
      <c r="F33" s="527"/>
      <c r="G33" s="528"/>
      <c r="H33" s="528"/>
      <c r="I33" s="529">
        <f>I34</f>
        <v>244320</v>
      </c>
      <c r="J33" s="530"/>
      <c r="K33" s="531"/>
      <c r="L33" s="531"/>
      <c r="M33" s="532"/>
      <c r="N33" s="529">
        <f>I33+[3]收支!N33</f>
        <v>2876984</v>
      </c>
    </row>
    <row r="34" spans="1:14" s="483" customFormat="1" ht="14.85" customHeight="1">
      <c r="A34" s="446"/>
      <c r="B34" s="449"/>
      <c r="C34" s="450" t="s">
        <v>419</v>
      </c>
      <c r="D34" s="450"/>
      <c r="E34" s="451"/>
      <c r="F34" s="446"/>
      <c r="G34" s="447"/>
      <c r="H34" s="447"/>
      <c r="I34" s="454">
        <v>244320</v>
      </c>
      <c r="J34" s="445"/>
      <c r="K34" s="449"/>
      <c r="L34" s="449"/>
      <c r="M34" s="453"/>
      <c r="N34" s="454">
        <f>I34+[3]收支!N34</f>
        <v>2876984</v>
      </c>
    </row>
    <row r="35" spans="1:14" s="535" customFormat="1" ht="14.85" customHeight="1">
      <c r="A35" s="534"/>
      <c r="B35" s="536" t="s">
        <v>420</v>
      </c>
      <c r="C35" s="537"/>
      <c r="D35" s="537"/>
      <c r="E35" s="538"/>
      <c r="F35" s="534"/>
      <c r="G35" s="539"/>
      <c r="H35" s="539"/>
      <c r="I35" s="529">
        <f>I36</f>
        <v>2180</v>
      </c>
      <c r="J35" s="533"/>
      <c r="K35" s="536"/>
      <c r="L35" s="536"/>
      <c r="M35" s="541"/>
      <c r="N35" s="529">
        <f>I35+[3]收支!N35</f>
        <v>10420</v>
      </c>
    </row>
    <row r="36" spans="1:14" s="483" customFormat="1" ht="14.85" customHeight="1">
      <c r="A36" s="446"/>
      <c r="B36" s="449"/>
      <c r="C36" s="450" t="s">
        <v>420</v>
      </c>
      <c r="D36" s="450"/>
      <c r="E36" s="451"/>
      <c r="F36" s="446"/>
      <c r="G36" s="447"/>
      <c r="H36" s="447"/>
      <c r="I36" s="454">
        <v>2180</v>
      </c>
      <c r="J36" s="445"/>
      <c r="K36" s="449"/>
      <c r="L36" s="449"/>
      <c r="M36" s="453"/>
      <c r="N36" s="454">
        <f>I36+[3]收支!N36</f>
        <v>10420</v>
      </c>
    </row>
    <row r="37" spans="1:14" s="535" customFormat="1" ht="14.85" customHeight="1">
      <c r="A37" s="736" t="s">
        <v>421</v>
      </c>
      <c r="B37" s="737"/>
      <c r="C37" s="738"/>
      <c r="D37" s="738"/>
      <c r="E37" s="542"/>
      <c r="F37" s="527"/>
      <c r="G37" s="528"/>
      <c r="H37" s="528"/>
      <c r="I37" s="529">
        <f>I14-I26</f>
        <v>-665482</v>
      </c>
      <c r="J37" s="530"/>
      <c r="K37" s="531"/>
      <c r="L37" s="531"/>
      <c r="M37" s="532"/>
      <c r="N37" s="529">
        <f>I37+[3]收支!N37</f>
        <v>248151</v>
      </c>
    </row>
    <row r="38" spans="1:14" s="483" customFormat="1" ht="14.85" customHeight="1">
      <c r="A38" s="731" t="s">
        <v>337</v>
      </c>
      <c r="B38" s="732"/>
      <c r="C38" s="732"/>
      <c r="D38" s="732"/>
      <c r="E38" s="448"/>
      <c r="F38" s="358"/>
      <c r="G38" s="359"/>
      <c r="H38" s="360"/>
      <c r="I38" s="454"/>
      <c r="J38" s="455"/>
      <c r="K38" s="456"/>
      <c r="L38" s="456"/>
      <c r="M38" s="457"/>
      <c r="N38" s="454">
        <f>I38+[3]收支!N38</f>
        <v>42531681</v>
      </c>
    </row>
    <row r="39" spans="1:14" s="483" customFormat="1" ht="14.85" customHeight="1">
      <c r="A39" s="731" t="s">
        <v>338</v>
      </c>
      <c r="B39" s="732"/>
      <c r="C39" s="732"/>
      <c r="D39" s="732"/>
      <c r="E39" s="448"/>
      <c r="F39" s="361"/>
      <c r="G39" s="359"/>
      <c r="H39" s="362"/>
      <c r="I39" s="454"/>
      <c r="J39" s="445"/>
      <c r="K39" s="449"/>
      <c r="L39" s="449"/>
      <c r="M39" s="453"/>
      <c r="N39" s="454">
        <f>I39+[3]收支!N39</f>
        <v>0</v>
      </c>
    </row>
    <row r="40" spans="1:14" s="517" customFormat="1" ht="14.85" customHeight="1">
      <c r="A40" s="733" t="s">
        <v>422</v>
      </c>
      <c r="B40" s="734"/>
      <c r="C40" s="734"/>
      <c r="D40" s="734"/>
      <c r="E40" s="509"/>
      <c r="F40" s="510"/>
      <c r="G40" s="511"/>
      <c r="H40" s="512"/>
      <c r="I40" s="513">
        <f>I37+I38-I39</f>
        <v>-665482</v>
      </c>
      <c r="J40" s="514"/>
      <c r="K40" s="515"/>
      <c r="L40" s="515"/>
      <c r="M40" s="516"/>
      <c r="N40" s="513">
        <f>I40+[3]收支!N40</f>
        <v>42779832</v>
      </c>
    </row>
    <row r="41" spans="1:14" s="482" customFormat="1" ht="12.75" hidden="1" customHeight="1">
      <c r="A41" s="363"/>
      <c r="B41" s="363"/>
      <c r="C41" s="363"/>
      <c r="D41" s="363"/>
      <c r="E41" s="483"/>
      <c r="F41" s="483"/>
      <c r="G41" s="483"/>
      <c r="H41" s="483"/>
      <c r="I41" s="483">
        <v>0</v>
      </c>
    </row>
    <row r="42" spans="1:14" s="483" customFormat="1" ht="16.5">
      <c r="A42" s="363" t="s">
        <v>423</v>
      </c>
      <c r="B42" s="363"/>
      <c r="C42" s="363" t="s">
        <v>457</v>
      </c>
      <c r="D42" s="363"/>
    </row>
  </sheetData>
  <mergeCells count="20">
    <mergeCell ref="A39:D39"/>
    <mergeCell ref="A40:D40"/>
    <mergeCell ref="A26:D26"/>
    <mergeCell ref="B27:E27"/>
    <mergeCell ref="B33:E33"/>
    <mergeCell ref="A37:D37"/>
    <mergeCell ref="A38:D38"/>
    <mergeCell ref="B29:E29"/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33"/>
  <sheetViews>
    <sheetView showGridLines="0" showZeros="0" showOutlineSymbols="0" view="pageBreakPreview" zoomScaleSheetLayoutView="100" workbookViewId="0">
      <pane xSplit="2" ySplit="12" topLeftCell="C19" activePane="bottomRight" state="frozen"/>
      <selection activeCell="A21" sqref="A21:XFD21"/>
      <selection pane="topRight" activeCell="A21" sqref="A21:XFD21"/>
      <selection pane="bottomLeft" activeCell="A21" sqref="A21:XFD21"/>
      <selection pane="bottomRight" activeCell="A21" sqref="A21:XFD21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691" t="str">
        <f>封面!$A$4</f>
        <v>彰化縣地方教育發展基金－彰化縣秀水鄉馬興國民小學</v>
      </c>
      <c r="B1" s="691"/>
      <c r="C1" s="691"/>
      <c r="D1" s="691"/>
      <c r="E1" s="691"/>
      <c r="F1" s="691"/>
      <c r="G1" s="607"/>
      <c r="H1" s="607"/>
      <c r="I1" s="607"/>
    </row>
    <row r="2" spans="1:10" ht="19.5" hidden="1" customHeight="1">
      <c r="A2" s="338"/>
      <c r="B2" s="338"/>
      <c r="C2" s="338"/>
      <c r="D2" s="338"/>
      <c r="E2" s="338"/>
      <c r="F2" s="338"/>
    </row>
    <row r="3" spans="1:10" ht="14.25" hidden="1" customHeight="1"/>
    <row r="4" spans="1:10" ht="21">
      <c r="A4" s="707" t="s">
        <v>318</v>
      </c>
      <c r="B4" s="707"/>
      <c r="C4" s="707"/>
      <c r="D4" s="707"/>
      <c r="E4" s="707"/>
      <c r="F4" s="707"/>
      <c r="G4" s="607"/>
      <c r="H4" s="607"/>
      <c r="I4" s="607"/>
    </row>
    <row r="5" spans="1:10" ht="6.75" customHeight="1"/>
    <row r="6" spans="1:10" ht="16.5">
      <c r="A6" s="692" t="str">
        <f>封面!$E$10&amp;封面!$H$10&amp;封面!$I$10&amp;封面!$J$10&amp;封面!$K$10&amp;封面!L10</f>
        <v>中華民國111年12月份</v>
      </c>
      <c r="B6" s="692"/>
      <c r="C6" s="692"/>
      <c r="D6" s="692"/>
      <c r="E6" s="692"/>
      <c r="F6" s="692"/>
      <c r="G6" s="607"/>
      <c r="H6" s="607"/>
      <c r="I6" s="607"/>
    </row>
    <row r="7" spans="1:10" ht="16.5">
      <c r="A7" s="633" t="s">
        <v>39</v>
      </c>
      <c r="B7" s="633"/>
      <c r="C7" s="633"/>
      <c r="D7" s="633"/>
      <c r="E7" s="633"/>
      <c r="F7" s="633"/>
      <c r="G7" s="607"/>
      <c r="H7" s="607"/>
      <c r="I7" s="607"/>
    </row>
    <row r="8" spans="1:10" ht="6" customHeight="1"/>
    <row r="9" spans="1:10" s="364" customFormat="1" ht="42.75" customHeight="1">
      <c r="A9" s="727" t="s">
        <v>319</v>
      </c>
      <c r="B9" s="727"/>
      <c r="C9" s="365" t="s">
        <v>320</v>
      </c>
      <c r="D9" s="366" t="s">
        <v>321</v>
      </c>
      <c r="E9" s="366" t="s">
        <v>322</v>
      </c>
      <c r="F9" s="366"/>
      <c r="G9" s="727" t="s">
        <v>323</v>
      </c>
      <c r="H9" s="742"/>
      <c r="I9" s="742"/>
    </row>
    <row r="10" spans="1:10" s="343" customFormat="1" ht="12.75" hidden="1" customHeight="1">
      <c r="A10" s="367"/>
      <c r="B10" s="367"/>
      <c r="C10" s="368"/>
      <c r="D10" s="368"/>
      <c r="E10" s="340"/>
      <c r="F10" s="340"/>
      <c r="G10" s="743" t="s">
        <v>323</v>
      </c>
      <c r="H10" s="744"/>
      <c r="I10" s="744"/>
    </row>
    <row r="11" spans="1:10" s="343" customFormat="1" ht="12.75" hidden="1" customHeight="1">
      <c r="A11" s="367"/>
      <c r="B11" s="367"/>
      <c r="C11" s="368"/>
      <c r="D11" s="368"/>
      <c r="E11" s="368"/>
      <c r="F11" s="368"/>
      <c r="G11" s="743" t="s">
        <v>323</v>
      </c>
      <c r="H11" s="744"/>
      <c r="I11" s="744"/>
    </row>
    <row r="12" spans="1:10" s="343" customFormat="1" ht="9" hidden="1" customHeight="1">
      <c r="A12" s="367"/>
      <c r="B12" s="367"/>
      <c r="C12" s="368"/>
      <c r="D12" s="368"/>
      <c r="E12" s="368"/>
      <c r="F12" s="368"/>
      <c r="G12" s="743" t="s">
        <v>323</v>
      </c>
      <c r="H12" s="744"/>
      <c r="I12" s="744"/>
    </row>
    <row r="13" spans="1:10" s="482" customFormat="1" ht="16.5">
      <c r="A13" s="746" t="s">
        <v>424</v>
      </c>
      <c r="B13" s="746"/>
      <c r="C13" s="466">
        <f>SUM(C14:C17)</f>
        <v>35071927</v>
      </c>
      <c r="D13" s="466">
        <f t="shared" ref="D13:E13" si="0">SUM(D14:D17)</f>
        <v>3732666</v>
      </c>
      <c r="E13" s="466">
        <f t="shared" si="0"/>
        <v>38804593</v>
      </c>
      <c r="F13" s="369"/>
      <c r="G13" s="740" t="s">
        <v>425</v>
      </c>
      <c r="H13" s="745"/>
      <c r="I13" s="741"/>
      <c r="J13" s="482">
        <f>D13</f>
        <v>3732666</v>
      </c>
    </row>
    <row r="14" spans="1:10" s="482" customFormat="1" ht="16.5">
      <c r="A14" s="356"/>
      <c r="B14" s="480" t="s">
        <v>426</v>
      </c>
      <c r="C14" s="458">
        <v>23986</v>
      </c>
      <c r="D14" s="458"/>
      <c r="E14" s="467">
        <f>C14+D14</f>
        <v>23986</v>
      </c>
      <c r="F14" s="369"/>
      <c r="G14" s="357"/>
      <c r="H14" s="745" t="s">
        <v>426</v>
      </c>
      <c r="I14" s="741"/>
      <c r="J14" s="482">
        <f t="shared" ref="J14:J31" si="1">D14</f>
        <v>0</v>
      </c>
    </row>
    <row r="15" spans="1:10" s="482" customFormat="1" ht="16.5">
      <c r="A15" s="356"/>
      <c r="B15" s="480" t="s">
        <v>427</v>
      </c>
      <c r="C15" s="458">
        <v>9570</v>
      </c>
      <c r="D15" s="458">
        <v>3732666</v>
      </c>
      <c r="E15" s="467">
        <f t="shared" ref="E15:E16" si="2">C15+D15</f>
        <v>3742236</v>
      </c>
      <c r="F15" s="369"/>
      <c r="G15" s="357"/>
      <c r="H15" s="745" t="s">
        <v>428</v>
      </c>
      <c r="I15" s="741"/>
      <c r="J15" s="482">
        <f t="shared" si="1"/>
        <v>3732666</v>
      </c>
    </row>
    <row r="16" spans="1:10" s="482" customFormat="1" ht="16.5">
      <c r="A16" s="356"/>
      <c r="B16" s="480" t="s">
        <v>429</v>
      </c>
      <c r="C16" s="458">
        <v>35023827</v>
      </c>
      <c r="D16" s="458"/>
      <c r="E16" s="467">
        <f t="shared" si="2"/>
        <v>35023827</v>
      </c>
      <c r="F16" s="369"/>
      <c r="G16" s="357"/>
      <c r="H16" s="745" t="s">
        <v>20</v>
      </c>
      <c r="I16" s="741"/>
      <c r="J16" s="482">
        <f t="shared" si="1"/>
        <v>0</v>
      </c>
    </row>
    <row r="17" spans="1:10" s="483" customFormat="1" ht="16.5">
      <c r="A17" s="356"/>
      <c r="B17" s="480" t="s">
        <v>430</v>
      </c>
      <c r="C17" s="458">
        <v>14544</v>
      </c>
      <c r="D17" s="458"/>
      <c r="E17" s="467">
        <f>C17+D17</f>
        <v>14544</v>
      </c>
      <c r="F17" s="369"/>
      <c r="G17" s="357"/>
      <c r="H17" s="745" t="s">
        <v>431</v>
      </c>
      <c r="I17" s="741"/>
      <c r="J17" s="482">
        <f t="shared" si="1"/>
        <v>0</v>
      </c>
    </row>
    <row r="18" spans="1:10" s="483" customFormat="1" ht="16.5">
      <c r="A18" s="740" t="s">
        <v>432</v>
      </c>
      <c r="B18" s="741"/>
      <c r="C18" s="468">
        <f>SUM(C19:C27)</f>
        <v>35674806</v>
      </c>
      <c r="D18" s="468">
        <f t="shared" ref="D18:E18" si="3">SUM(D19:D27)</f>
        <v>2881636</v>
      </c>
      <c r="E18" s="468">
        <f t="shared" si="3"/>
        <v>38556442</v>
      </c>
      <c r="F18" s="370"/>
      <c r="G18" s="740" t="s">
        <v>433</v>
      </c>
      <c r="H18" s="745"/>
      <c r="I18" s="741"/>
      <c r="J18" s="482">
        <f t="shared" si="1"/>
        <v>2881636</v>
      </c>
    </row>
    <row r="19" spans="1:10" s="483" customFormat="1" ht="16.5">
      <c r="A19" s="356"/>
      <c r="B19" s="480" t="s">
        <v>434</v>
      </c>
      <c r="C19" s="458">
        <v>34075176</v>
      </c>
      <c r="D19" s="458"/>
      <c r="E19" s="467">
        <f>C19+D19</f>
        <v>34075176</v>
      </c>
      <c r="F19" s="369"/>
      <c r="G19" s="357"/>
      <c r="H19" s="745" t="s">
        <v>435</v>
      </c>
      <c r="I19" s="741"/>
      <c r="J19" s="482">
        <f t="shared" si="1"/>
        <v>0</v>
      </c>
    </row>
    <row r="20" spans="1:10" s="483" customFormat="1" ht="16.5">
      <c r="A20" s="356"/>
      <c r="B20" s="480" t="s">
        <v>436</v>
      </c>
      <c r="C20" s="458">
        <v>1052092</v>
      </c>
      <c r="D20" s="458">
        <v>537118</v>
      </c>
      <c r="E20" s="467">
        <f>C20+D20</f>
        <v>1589210</v>
      </c>
      <c r="F20" s="369"/>
      <c r="G20" s="357"/>
      <c r="H20" s="479" t="s">
        <v>437</v>
      </c>
      <c r="I20" s="480"/>
      <c r="J20" s="482"/>
    </row>
    <row r="21" spans="1:10" s="483" customFormat="1" ht="16.5">
      <c r="A21" s="356"/>
      <c r="B21" s="480" t="s">
        <v>438</v>
      </c>
      <c r="C21" s="458">
        <v>125709</v>
      </c>
      <c r="D21" s="458">
        <v>-125709</v>
      </c>
      <c r="E21" s="467">
        <f t="shared" ref="E21:E31" si="4">C21+D21</f>
        <v>0</v>
      </c>
      <c r="F21" s="369"/>
      <c r="G21" s="357"/>
      <c r="H21" s="479"/>
      <c r="I21" s="480"/>
      <c r="J21" s="482"/>
    </row>
    <row r="22" spans="1:10" s="483" customFormat="1" ht="16.5">
      <c r="A22" s="356"/>
      <c r="B22" s="480" t="s">
        <v>439</v>
      </c>
      <c r="C22" s="458">
        <v>393369</v>
      </c>
      <c r="D22" s="458">
        <v>-393369</v>
      </c>
      <c r="E22" s="467">
        <f t="shared" si="4"/>
        <v>0</v>
      </c>
      <c r="F22" s="369"/>
      <c r="G22" s="357"/>
      <c r="H22" s="479"/>
      <c r="I22" s="480"/>
      <c r="J22" s="482"/>
    </row>
    <row r="23" spans="1:10" s="483" customFormat="1" ht="16.5">
      <c r="A23" s="356"/>
      <c r="B23" s="480" t="s">
        <v>440</v>
      </c>
      <c r="C23" s="458">
        <v>80</v>
      </c>
      <c r="D23" s="458">
        <v>-80</v>
      </c>
      <c r="E23" s="467">
        <f t="shared" si="4"/>
        <v>0</v>
      </c>
      <c r="F23" s="369"/>
      <c r="G23" s="357"/>
      <c r="H23" s="479"/>
      <c r="I23" s="480"/>
      <c r="J23" s="482"/>
    </row>
    <row r="24" spans="1:10" s="483" customFormat="1" ht="33">
      <c r="A24" s="356"/>
      <c r="B24" s="480" t="s">
        <v>441</v>
      </c>
      <c r="C24" s="458">
        <v>17960</v>
      </c>
      <c r="D24" s="458">
        <v>-17960</v>
      </c>
      <c r="E24" s="467">
        <f t="shared" si="4"/>
        <v>0</v>
      </c>
      <c r="F24" s="369"/>
      <c r="G24" s="357"/>
      <c r="H24" s="479"/>
      <c r="I24" s="480"/>
      <c r="J24" s="482"/>
    </row>
    <row r="25" spans="1:10" s="483" customFormat="1" ht="16.5">
      <c r="A25" s="356"/>
      <c r="B25" s="480"/>
      <c r="C25" s="458"/>
      <c r="D25" s="458">
        <v>4652</v>
      </c>
      <c r="E25" s="467">
        <f t="shared" si="4"/>
        <v>4652</v>
      </c>
      <c r="F25" s="369"/>
      <c r="G25" s="357"/>
      <c r="H25" s="479" t="s">
        <v>442</v>
      </c>
      <c r="I25" s="480"/>
      <c r="J25" s="482"/>
    </row>
    <row r="26" spans="1:10" s="483" customFormat="1" ht="16.5">
      <c r="A26" s="356"/>
      <c r="B26" s="372"/>
      <c r="C26" s="458"/>
      <c r="D26" s="458">
        <v>2876984</v>
      </c>
      <c r="E26" s="467">
        <f t="shared" si="4"/>
        <v>2876984</v>
      </c>
      <c r="F26" s="369"/>
      <c r="G26" s="357"/>
      <c r="H26" s="745" t="s">
        <v>443</v>
      </c>
      <c r="I26" s="741"/>
      <c r="J26" s="482">
        <f t="shared" si="1"/>
        <v>2876984</v>
      </c>
    </row>
    <row r="27" spans="1:10" s="483" customFormat="1" ht="16.5">
      <c r="A27" s="356"/>
      <c r="B27" s="372" t="s">
        <v>444</v>
      </c>
      <c r="C27" s="458">
        <v>10420</v>
      </c>
      <c r="D27" s="458"/>
      <c r="E27" s="467">
        <f t="shared" si="4"/>
        <v>10420</v>
      </c>
      <c r="F27" s="369"/>
      <c r="G27" s="357"/>
      <c r="H27" s="479" t="s">
        <v>445</v>
      </c>
      <c r="I27" s="480"/>
      <c r="J27" s="482"/>
    </row>
    <row r="28" spans="1:10" s="483" customFormat="1" ht="16.5">
      <c r="A28" s="739" t="s">
        <v>339</v>
      </c>
      <c r="B28" s="739"/>
      <c r="C28" s="466">
        <f>C13-C18</f>
        <v>-602879</v>
      </c>
      <c r="D28" s="466">
        <f t="shared" ref="D28:E28" si="5">D13-D18</f>
        <v>851030</v>
      </c>
      <c r="E28" s="466">
        <f t="shared" si="5"/>
        <v>248151</v>
      </c>
      <c r="F28" s="369"/>
      <c r="G28" s="747" t="s">
        <v>339</v>
      </c>
      <c r="H28" s="748"/>
      <c r="I28" s="749"/>
      <c r="J28" s="482">
        <f t="shared" si="1"/>
        <v>851030</v>
      </c>
    </row>
    <row r="29" spans="1:10" s="483" customFormat="1" ht="16.5">
      <c r="A29" s="739" t="s">
        <v>24</v>
      </c>
      <c r="B29" s="739"/>
      <c r="C29" s="459">
        <f>[4]對照表!$C$31</f>
        <v>2344442</v>
      </c>
      <c r="D29" s="459">
        <f>[4]對照表!$D$31</f>
        <v>40187239</v>
      </c>
      <c r="E29" s="468">
        <f t="shared" si="4"/>
        <v>42531681</v>
      </c>
      <c r="F29" s="370"/>
      <c r="G29" s="747" t="s">
        <v>337</v>
      </c>
      <c r="H29" s="748"/>
      <c r="I29" s="749"/>
      <c r="J29" s="482">
        <f t="shared" si="1"/>
        <v>40187239</v>
      </c>
    </row>
    <row r="30" spans="1:10" s="483" customFormat="1" ht="16.5">
      <c r="A30" s="739" t="s">
        <v>338</v>
      </c>
      <c r="B30" s="739"/>
      <c r="C30" s="465"/>
      <c r="D30" s="465"/>
      <c r="E30" s="466">
        <f t="shared" si="4"/>
        <v>0</v>
      </c>
      <c r="F30" s="369"/>
      <c r="G30" s="747" t="s">
        <v>338</v>
      </c>
      <c r="H30" s="748"/>
      <c r="I30" s="749"/>
      <c r="J30" s="482">
        <f t="shared" si="1"/>
        <v>0</v>
      </c>
    </row>
    <row r="31" spans="1:10" s="483" customFormat="1" ht="16.5">
      <c r="A31" s="750" t="s">
        <v>26</v>
      </c>
      <c r="B31" s="750"/>
      <c r="C31" s="469">
        <f>C28+C29-C30</f>
        <v>1741563</v>
      </c>
      <c r="D31" s="469">
        <f t="shared" ref="D31" si="6">D28+D29-D30</f>
        <v>41038269</v>
      </c>
      <c r="E31" s="469">
        <f t="shared" si="4"/>
        <v>42779832</v>
      </c>
      <c r="F31" s="371"/>
      <c r="G31" s="751" t="s">
        <v>340</v>
      </c>
      <c r="H31" s="752"/>
      <c r="I31" s="753"/>
      <c r="J31" s="482">
        <f t="shared" si="1"/>
        <v>41038269</v>
      </c>
    </row>
    <row r="32" spans="1:10" s="482" customFormat="1" ht="12.75" hidden="1" customHeight="1">
      <c r="A32" s="483"/>
      <c r="B32" s="483"/>
      <c r="C32" s="483"/>
      <c r="D32" s="483"/>
      <c r="E32" s="483"/>
      <c r="F32" s="483"/>
      <c r="G32" s="483"/>
      <c r="H32" s="483"/>
    </row>
    <row r="33" spans="1:1" s="483" customFormat="1" ht="19.5" customHeight="1">
      <c r="A33" s="363" t="s">
        <v>446</v>
      </c>
    </row>
  </sheetData>
  <mergeCells count="27">
    <mergeCell ref="A29:B29"/>
    <mergeCell ref="G29:I29"/>
    <mergeCell ref="A30:B30"/>
    <mergeCell ref="G30:I30"/>
    <mergeCell ref="A31:B31"/>
    <mergeCell ref="G31:I31"/>
    <mergeCell ref="H17:I17"/>
    <mergeCell ref="H16:I16"/>
    <mergeCell ref="G18:I18"/>
    <mergeCell ref="H19:I19"/>
    <mergeCell ref="H26:I26"/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27"/>
  <sheetViews>
    <sheetView view="pageBreakPreview" zoomScaleNormal="90" workbookViewId="0">
      <selection activeCell="A21" sqref="A21:XFD21"/>
    </sheetView>
  </sheetViews>
  <sheetFormatPr defaultColWidth="9.140625" defaultRowHeight="15.75"/>
  <cols>
    <col min="1" max="1" width="74.28515625" style="23" customWidth="1"/>
    <col min="2" max="2" width="23.7109375" style="28" customWidth="1"/>
    <col min="3" max="3" width="24" style="23" customWidth="1"/>
    <col min="4" max="4" width="16.140625" style="23" bestFit="1" customWidth="1"/>
    <col min="5" max="5" width="14.7109375" style="23" customWidth="1"/>
    <col min="6" max="16384" width="9.140625" style="23"/>
  </cols>
  <sheetData>
    <row r="1" spans="1:5" ht="25.5">
      <c r="A1" s="755" t="str">
        <f>封面!$A$4</f>
        <v>彰化縣地方教育發展基金－彰化縣秀水鄉馬興國民小學</v>
      </c>
      <c r="B1" s="756"/>
      <c r="C1" s="756"/>
    </row>
    <row r="2" spans="1:5" ht="25.5" customHeight="1">
      <c r="A2" s="757" t="s">
        <v>73</v>
      </c>
      <c r="B2" s="757"/>
      <c r="C2" s="757"/>
    </row>
    <row r="3" spans="1:5" ht="24" customHeight="1">
      <c r="A3" s="758" t="str">
        <f>封面!$E$10&amp;封面!$H$10&amp;封面!$I$10&amp;封面!$J$10&amp;封面!$K$10&amp;封面!$O$10&amp;"日"</f>
        <v>中華民國111年12月31日</v>
      </c>
      <c r="B3" s="758"/>
      <c r="C3" s="758"/>
    </row>
    <row r="4" spans="1:5" s="25" customFormat="1" ht="23.25" customHeight="1">
      <c r="A4" s="759"/>
      <c r="B4" s="759" t="s">
        <v>74</v>
      </c>
      <c r="C4" s="759"/>
    </row>
    <row r="5" spans="1:5" s="25" customFormat="1" ht="23.25" customHeight="1">
      <c r="A5" s="759"/>
      <c r="B5" s="26" t="s">
        <v>75</v>
      </c>
      <c r="C5" s="24" t="s">
        <v>76</v>
      </c>
    </row>
    <row r="6" spans="1:5" ht="24" customHeight="1">
      <c r="A6" s="27" t="s">
        <v>77</v>
      </c>
      <c r="B6" s="113"/>
      <c r="C6" s="114">
        <f>B7</f>
        <v>1883483</v>
      </c>
    </row>
    <row r="7" spans="1:5" ht="24" customHeight="1">
      <c r="A7" s="225" t="s">
        <v>199</v>
      </c>
      <c r="B7" s="113">
        <f>VLOOKUP("銀行存款-縣庫存款",平衡!$E$13:$H$41,4,0)</f>
        <v>1883483</v>
      </c>
      <c r="C7" s="115"/>
    </row>
    <row r="8" spans="1:5" ht="24" customHeight="1">
      <c r="A8" s="106" t="s">
        <v>155</v>
      </c>
      <c r="B8" s="113"/>
      <c r="C8" s="388">
        <f>SUM(B9:B14)</f>
        <v>0</v>
      </c>
    </row>
    <row r="9" spans="1:5" ht="24" hidden="1" customHeight="1">
      <c r="A9" s="27" t="s">
        <v>78</v>
      </c>
      <c r="B9" s="113"/>
      <c r="C9" s="115"/>
    </row>
    <row r="10" spans="1:5" ht="24" hidden="1" customHeight="1">
      <c r="A10" s="27" t="s">
        <v>79</v>
      </c>
      <c r="B10" s="113"/>
      <c r="C10" s="115"/>
    </row>
    <row r="11" spans="1:5" ht="24" customHeight="1">
      <c r="A11" s="226"/>
      <c r="B11" s="113"/>
      <c r="C11" s="115"/>
    </row>
    <row r="12" spans="1:5" ht="24" customHeight="1">
      <c r="A12" s="226"/>
      <c r="B12" s="113"/>
      <c r="C12" s="115"/>
    </row>
    <row r="13" spans="1:5" ht="24" customHeight="1">
      <c r="A13" s="226"/>
      <c r="B13" s="113"/>
      <c r="C13" s="374"/>
      <c r="D13" s="375"/>
      <c r="E13" s="375"/>
    </row>
    <row r="14" spans="1:5" ht="24" customHeight="1">
      <c r="A14" s="226"/>
      <c r="B14" s="113"/>
      <c r="C14" s="374"/>
      <c r="D14" s="375"/>
      <c r="E14" s="375"/>
    </row>
    <row r="15" spans="1:5" ht="24" customHeight="1">
      <c r="A15" s="27" t="s">
        <v>80</v>
      </c>
      <c r="B15" s="113"/>
      <c r="C15" s="388">
        <f>SUM(B16:B17)</f>
        <v>0</v>
      </c>
      <c r="D15" s="375"/>
      <c r="E15" s="375"/>
    </row>
    <row r="16" spans="1:5" ht="24" customHeight="1">
      <c r="A16" s="286" t="str">
        <f>IF(B16&gt;0,封面!J10+1&amp;"月公庫撥款收入","")</f>
        <v/>
      </c>
      <c r="B16" s="113"/>
      <c r="C16" s="374"/>
      <c r="D16" s="375"/>
      <c r="E16" s="375"/>
    </row>
    <row r="17" spans="1:5" ht="24" customHeight="1">
      <c r="A17" s="225"/>
      <c r="B17" s="113"/>
      <c r="C17" s="374"/>
      <c r="D17" s="375"/>
      <c r="E17" s="375"/>
    </row>
    <row r="18" spans="1:5" ht="24" customHeight="1">
      <c r="A18" s="27" t="s">
        <v>81</v>
      </c>
      <c r="B18" s="113"/>
      <c r="C18" s="388">
        <f>SUM(B19:B20)</f>
        <v>0</v>
      </c>
      <c r="D18" s="375"/>
      <c r="E18" s="375"/>
    </row>
    <row r="19" spans="1:5" ht="24" customHeight="1">
      <c r="A19" s="226"/>
      <c r="B19" s="113"/>
      <c r="C19" s="374"/>
      <c r="D19" s="375"/>
      <c r="E19" s="375"/>
    </row>
    <row r="20" spans="1:5" ht="24" customHeight="1">
      <c r="A20" s="225"/>
      <c r="B20" s="113"/>
      <c r="C20" s="374"/>
      <c r="D20" s="375"/>
      <c r="E20" s="375"/>
    </row>
    <row r="21" spans="1:5" ht="24" customHeight="1">
      <c r="A21" s="27" t="s">
        <v>82</v>
      </c>
      <c r="B21" s="113"/>
      <c r="C21" s="388">
        <f>SUM(B22:B23)</f>
        <v>0</v>
      </c>
      <c r="D21" s="375"/>
      <c r="E21" s="375"/>
    </row>
    <row r="22" spans="1:5" ht="24" customHeight="1">
      <c r="A22" s="225"/>
      <c r="B22" s="113"/>
      <c r="C22" s="374"/>
      <c r="D22" s="375"/>
      <c r="E22" s="375"/>
    </row>
    <row r="23" spans="1:5" ht="24" customHeight="1">
      <c r="A23" s="225"/>
      <c r="B23" s="113"/>
      <c r="C23" s="115"/>
    </row>
    <row r="24" spans="1:5" ht="24" customHeight="1">
      <c r="A24" s="27" t="s">
        <v>186</v>
      </c>
      <c r="B24" s="113"/>
      <c r="C24" s="114">
        <f>C6+C8+C15-C18-C21</f>
        <v>1883483</v>
      </c>
      <c r="D24" s="23">
        <f>VLOOKUP(1,縣庫對帳!$A$4:$L$100,12)</f>
        <v>1883483</v>
      </c>
      <c r="E24" s="23">
        <f>C24-D24</f>
        <v>0</v>
      </c>
    </row>
    <row r="25" spans="1:5" ht="24" customHeight="1">
      <c r="A25" s="225"/>
      <c r="B25" s="113"/>
      <c r="C25" s="115"/>
    </row>
    <row r="27" spans="1:5">
      <c r="A27" s="754"/>
      <c r="B27" s="754"/>
      <c r="C27" s="754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7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V995"/>
  <sheetViews>
    <sheetView showZeros="0" view="pageBreakPreview" zoomScale="90" zoomScaleSheetLayoutView="90" workbookViewId="0">
      <pane xSplit="2" ySplit="3" topLeftCell="E4" activePane="bottomRight" state="frozen"/>
      <selection activeCell="A21" sqref="A21:XFD21"/>
      <selection pane="topRight" activeCell="A21" sqref="A21:XFD21"/>
      <selection pane="bottomLeft" activeCell="A21" sqref="A21:XFD21"/>
      <selection pane="bottomRight" activeCell="A21" sqref="A21:XFD21"/>
    </sheetView>
  </sheetViews>
  <sheetFormatPr defaultColWidth="9.140625" defaultRowHeight="16.5"/>
  <cols>
    <col min="1" max="1" width="3.42578125" style="72" bestFit="1" customWidth="1"/>
    <col min="2" max="2" width="18.7109375" style="52" customWidth="1"/>
    <col min="3" max="3" width="17.7109375" style="52" customWidth="1"/>
    <col min="4" max="4" width="10.7109375" style="52" customWidth="1"/>
    <col min="5" max="5" width="14.85546875" style="52" customWidth="1"/>
    <col min="6" max="6" width="9.5703125" style="53" bestFit="1" customWidth="1"/>
    <col min="7" max="7" width="10" style="30" bestFit="1" customWidth="1"/>
    <col min="8" max="8" width="9.7109375" style="30" customWidth="1"/>
    <col min="9" max="9" width="11.5703125" style="30" customWidth="1"/>
    <col min="10" max="10" width="12" style="30" customWidth="1"/>
    <col min="11" max="12" width="12.5703125" style="30" customWidth="1"/>
    <col min="13" max="13" width="11.140625" style="30" bestFit="1" customWidth="1"/>
    <col min="14" max="14" width="13.42578125" style="29" bestFit="1" customWidth="1"/>
    <col min="15" max="15" width="11.140625" style="29" customWidth="1"/>
    <col min="16" max="16" width="12.42578125" style="29" bestFit="1" customWidth="1"/>
    <col min="17" max="17" width="4.28515625" style="573" bestFit="1" customWidth="1"/>
    <col min="18" max="18" width="9.140625" style="29"/>
    <col min="19" max="19" width="13.140625" style="29" bestFit="1" customWidth="1"/>
    <col min="20" max="16384" width="9.140625" style="29"/>
  </cols>
  <sheetData>
    <row r="1" spans="1:22" s="56" customFormat="1" ht="27.75" customHeight="1">
      <c r="A1" s="165"/>
      <c r="B1" s="760" t="s">
        <v>83</v>
      </c>
      <c r="C1" s="760"/>
      <c r="D1" s="760"/>
      <c r="E1" s="760"/>
      <c r="F1" s="760"/>
      <c r="G1" s="760"/>
      <c r="H1" s="760"/>
      <c r="I1" s="760"/>
      <c r="J1" s="760"/>
      <c r="K1" s="760"/>
      <c r="L1" s="760"/>
      <c r="M1" s="153"/>
      <c r="N1" s="58"/>
      <c r="O1" s="58"/>
      <c r="P1" s="58"/>
      <c r="Q1" s="569"/>
      <c r="R1" s="54"/>
      <c r="S1" s="54"/>
      <c r="T1" s="54"/>
      <c r="U1" s="54"/>
      <c r="V1" s="55"/>
    </row>
    <row r="2" spans="1:22" s="56" customFormat="1" ht="33">
      <c r="A2" s="165"/>
      <c r="B2" s="761" t="str">
        <f>封面!$E$10&amp;封面!$H$10&amp;封面!$I$10&amp;封面!$J$10&amp;封面!$K$10&amp;封面!L10</f>
        <v>中華民國111年12月份</v>
      </c>
      <c r="C2" s="761"/>
      <c r="D2" s="761"/>
      <c r="E2" s="761"/>
      <c r="F2" s="761"/>
      <c r="G2" s="761"/>
      <c r="H2" s="761"/>
      <c r="I2" s="761"/>
      <c r="J2" s="761"/>
      <c r="K2" s="761"/>
      <c r="L2" s="761"/>
      <c r="M2" s="154"/>
      <c r="N2" s="167" t="s">
        <v>161</v>
      </c>
      <c r="O2" s="167"/>
      <c r="P2" s="167" t="s">
        <v>160</v>
      </c>
      <c r="Q2" s="570"/>
      <c r="R2" s="57"/>
      <c r="S2" s="57"/>
      <c r="T2" s="57"/>
      <c r="U2" s="57"/>
      <c r="V2" s="57"/>
    </row>
    <row r="3" spans="1:22" s="72" customFormat="1">
      <c r="B3" s="187" t="s">
        <v>174</v>
      </c>
      <c r="C3" s="187" t="s">
        <v>175</v>
      </c>
      <c r="D3" s="187" t="s">
        <v>176</v>
      </c>
      <c r="E3" s="187" t="s">
        <v>177</v>
      </c>
      <c r="F3" s="188" t="s">
        <v>84</v>
      </c>
      <c r="G3" s="189" t="s">
        <v>178</v>
      </c>
      <c r="H3" s="190" t="s">
        <v>179</v>
      </c>
      <c r="I3" s="190" t="s">
        <v>4</v>
      </c>
      <c r="J3" s="190" t="s">
        <v>180</v>
      </c>
      <c r="K3" s="190" t="s">
        <v>181</v>
      </c>
      <c r="L3" s="190" t="s">
        <v>85</v>
      </c>
      <c r="M3" s="70"/>
      <c r="N3" s="201">
        <f>VLOOKUP(1,$A$4:$L$98,10,0)-N4+N5-P9</f>
        <v>35071927</v>
      </c>
      <c r="O3" s="201"/>
      <c r="P3" s="201">
        <f>VLOOKUP(1,$A$4:$L$98,11,0)-P4+P5-P6+P7-P8-P9</f>
        <v>35674806</v>
      </c>
      <c r="Q3" s="71"/>
    </row>
    <row r="4" spans="1:22" s="53" customFormat="1">
      <c r="A4" s="69"/>
      <c r="B4" s="191" t="s">
        <v>657</v>
      </c>
      <c r="C4" s="192" t="s">
        <v>658</v>
      </c>
      <c r="D4" s="192"/>
      <c r="E4" s="191"/>
      <c r="F4" s="191"/>
      <c r="G4" s="192"/>
      <c r="H4" s="192" t="s">
        <v>659</v>
      </c>
      <c r="I4" s="193"/>
      <c r="J4" s="193">
        <v>37391263</v>
      </c>
      <c r="K4" s="193">
        <v>34987038</v>
      </c>
      <c r="L4" s="193">
        <v>2404225</v>
      </c>
      <c r="M4" s="224" t="s">
        <v>188</v>
      </c>
      <c r="N4" s="202">
        <f>[5]縣庫對帳!$L$4</f>
        <v>2344442</v>
      </c>
      <c r="O4" s="203" t="s">
        <v>189</v>
      </c>
      <c r="P4" s="204">
        <f>VLOOKUP("零用及週轉金",平衡!$D$13:$H$42,5,0)</f>
        <v>0</v>
      </c>
      <c r="Q4" s="571"/>
    </row>
    <row r="5" spans="1:22" s="53" customFormat="1">
      <c r="A5" s="69"/>
      <c r="B5" s="191" t="s">
        <v>657</v>
      </c>
      <c r="C5" s="192" t="s">
        <v>658</v>
      </c>
      <c r="D5" s="192" t="s">
        <v>660</v>
      </c>
      <c r="E5" s="191">
        <v>93</v>
      </c>
      <c r="F5" s="191">
        <v>1200598</v>
      </c>
      <c r="G5" s="192"/>
      <c r="H5" s="192" t="s">
        <v>661</v>
      </c>
      <c r="I5" s="193">
        <v>27000</v>
      </c>
      <c r="J5" s="193">
        <v>37391263</v>
      </c>
      <c r="K5" s="193">
        <v>35014038</v>
      </c>
      <c r="L5" s="193">
        <v>2377225</v>
      </c>
      <c r="M5" s="203" t="s">
        <v>190</v>
      </c>
      <c r="N5" s="204">
        <f>-庫款差額!C15+庫款差額!C18</f>
        <v>0</v>
      </c>
      <c r="O5" s="203" t="s">
        <v>190</v>
      </c>
      <c r="P5" s="204">
        <f>庫款差額!C8-庫款差額!C21</f>
        <v>0</v>
      </c>
      <c r="Q5" s="571"/>
    </row>
    <row r="6" spans="1:22" s="53" customFormat="1" ht="22.5">
      <c r="A6" s="69"/>
      <c r="B6" s="191" t="s">
        <v>657</v>
      </c>
      <c r="C6" s="192" t="s">
        <v>658</v>
      </c>
      <c r="D6" s="192" t="s">
        <v>662</v>
      </c>
      <c r="E6" s="191" t="s">
        <v>663</v>
      </c>
      <c r="F6" s="191" t="s">
        <v>664</v>
      </c>
      <c r="G6" s="192"/>
      <c r="H6" s="192" t="s">
        <v>661</v>
      </c>
      <c r="I6" s="193">
        <v>63695</v>
      </c>
      <c r="J6" s="193">
        <v>37391263</v>
      </c>
      <c r="K6" s="193">
        <v>35077733</v>
      </c>
      <c r="L6" s="193">
        <v>2313530</v>
      </c>
      <c r="M6" s="118"/>
      <c r="N6" s="205"/>
      <c r="O6" s="206" t="s">
        <v>195</v>
      </c>
      <c r="P6" s="204"/>
      <c r="Q6" s="571"/>
    </row>
    <row r="7" spans="1:22" s="53" customFormat="1" ht="22.5">
      <c r="A7" s="69"/>
      <c r="B7" s="191" t="s">
        <v>657</v>
      </c>
      <c r="C7" s="192" t="s">
        <v>658</v>
      </c>
      <c r="D7" s="192" t="s">
        <v>665</v>
      </c>
      <c r="E7" s="191" t="s">
        <v>666</v>
      </c>
      <c r="F7" s="191" t="s">
        <v>667</v>
      </c>
      <c r="G7" s="192"/>
      <c r="H7" s="192" t="s">
        <v>661</v>
      </c>
      <c r="I7" s="193">
        <v>11000</v>
      </c>
      <c r="J7" s="193">
        <v>37391263</v>
      </c>
      <c r="K7" s="193">
        <v>35088733</v>
      </c>
      <c r="L7" s="193">
        <v>2302530</v>
      </c>
      <c r="M7" s="118"/>
      <c r="N7" s="205"/>
      <c r="O7" s="206" t="s">
        <v>196</v>
      </c>
      <c r="P7" s="204">
        <f>IF(Q7=0,0,VLOOKUP("應付費用",平衡!$N$13:$T$41,7,0))</f>
        <v>141920</v>
      </c>
      <c r="Q7" s="571">
        <v>1</v>
      </c>
    </row>
    <row r="8" spans="1:22" s="53" customFormat="1">
      <c r="A8" s="69"/>
      <c r="B8" s="191" t="s">
        <v>657</v>
      </c>
      <c r="C8" s="192" t="s">
        <v>658</v>
      </c>
      <c r="D8" s="192" t="s">
        <v>665</v>
      </c>
      <c r="E8" s="191" t="s">
        <v>668</v>
      </c>
      <c r="F8" s="191" t="s">
        <v>669</v>
      </c>
      <c r="G8" s="192"/>
      <c r="H8" s="192" t="s">
        <v>661</v>
      </c>
      <c r="I8" s="193">
        <v>17378</v>
      </c>
      <c r="J8" s="193">
        <v>37391263</v>
      </c>
      <c r="K8" s="193">
        <v>35106111</v>
      </c>
      <c r="L8" s="193">
        <v>2285152</v>
      </c>
      <c r="M8" s="118"/>
      <c r="N8" s="205"/>
      <c r="O8" s="204" t="s">
        <v>191</v>
      </c>
      <c r="P8" s="204"/>
      <c r="Q8" s="571"/>
    </row>
    <row r="9" spans="1:22" s="53" customFormat="1">
      <c r="A9" s="69"/>
      <c r="B9" s="191" t="s">
        <v>657</v>
      </c>
      <c r="C9" s="192" t="s">
        <v>658</v>
      </c>
      <c r="D9" s="192" t="s">
        <v>670</v>
      </c>
      <c r="E9" s="191" t="s">
        <v>671</v>
      </c>
      <c r="F9" s="191" t="s">
        <v>672</v>
      </c>
      <c r="G9" s="192"/>
      <c r="H9" s="192" t="s">
        <v>661</v>
      </c>
      <c r="I9" s="193">
        <v>17164</v>
      </c>
      <c r="J9" s="193">
        <v>37391263</v>
      </c>
      <c r="K9" s="193">
        <v>35123275</v>
      </c>
      <c r="L9" s="193">
        <v>2267988</v>
      </c>
      <c r="M9" s="118"/>
      <c r="N9" s="30"/>
      <c r="O9" s="204" t="s">
        <v>192</v>
      </c>
      <c r="P9" s="204"/>
      <c r="Q9" s="571"/>
    </row>
    <row r="10" spans="1:22" s="53" customFormat="1">
      <c r="A10" s="69"/>
      <c r="B10" s="191" t="s">
        <v>657</v>
      </c>
      <c r="C10" s="192" t="s">
        <v>658</v>
      </c>
      <c r="D10" s="192" t="s">
        <v>673</v>
      </c>
      <c r="E10" s="191" t="s">
        <v>674</v>
      </c>
      <c r="F10" s="191" t="s">
        <v>675</v>
      </c>
      <c r="G10" s="192"/>
      <c r="H10" s="192" t="s">
        <v>661</v>
      </c>
      <c r="I10" s="193">
        <v>16000</v>
      </c>
      <c r="J10" s="193">
        <v>37391263</v>
      </c>
      <c r="K10" s="193">
        <v>35139275</v>
      </c>
      <c r="L10" s="193">
        <v>2251988</v>
      </c>
      <c r="M10" s="118"/>
      <c r="N10" s="30"/>
      <c r="O10" s="30"/>
      <c r="P10" s="30"/>
      <c r="Q10" s="571"/>
    </row>
    <row r="11" spans="1:22" s="53" customFormat="1">
      <c r="A11" s="69"/>
      <c r="B11" s="191" t="s">
        <v>657</v>
      </c>
      <c r="C11" s="192" t="s">
        <v>658</v>
      </c>
      <c r="D11" s="192" t="s">
        <v>676</v>
      </c>
      <c r="E11" s="191" t="s">
        <v>677</v>
      </c>
      <c r="F11" s="191" t="s">
        <v>678</v>
      </c>
      <c r="G11" s="192"/>
      <c r="H11" s="192" t="s">
        <v>661</v>
      </c>
      <c r="I11" s="193">
        <v>33905</v>
      </c>
      <c r="J11" s="193">
        <v>37391263</v>
      </c>
      <c r="K11" s="193">
        <v>35173180</v>
      </c>
      <c r="L11" s="193">
        <v>2218083</v>
      </c>
      <c r="M11" s="118"/>
      <c r="N11" s="30"/>
      <c r="O11" s="30"/>
      <c r="P11" s="30"/>
      <c r="Q11" s="571"/>
    </row>
    <row r="12" spans="1:22" s="53" customFormat="1">
      <c r="A12" s="69"/>
      <c r="B12" s="191" t="s">
        <v>657</v>
      </c>
      <c r="C12" s="192" t="s">
        <v>658</v>
      </c>
      <c r="D12" s="192" t="s">
        <v>679</v>
      </c>
      <c r="E12" s="191" t="s">
        <v>680</v>
      </c>
      <c r="F12" s="191"/>
      <c r="G12" s="192">
        <v>24655</v>
      </c>
      <c r="H12" s="192" t="s">
        <v>681</v>
      </c>
      <c r="I12" s="193"/>
      <c r="J12" s="193">
        <v>37415918</v>
      </c>
      <c r="K12" s="193">
        <v>35173180</v>
      </c>
      <c r="L12" s="193">
        <v>2242738</v>
      </c>
      <c r="M12" s="118"/>
      <c r="N12" s="30"/>
      <c r="O12" s="30"/>
      <c r="P12" s="30"/>
      <c r="Q12" s="571"/>
    </row>
    <row r="13" spans="1:22" s="53" customFormat="1">
      <c r="A13" s="69"/>
      <c r="B13" s="191" t="s">
        <v>657</v>
      </c>
      <c r="C13" s="373" t="s">
        <v>658</v>
      </c>
      <c r="D13" s="373" t="s">
        <v>679</v>
      </c>
      <c r="E13" s="191">
        <v>13998910131852</v>
      </c>
      <c r="F13" s="191"/>
      <c r="G13" s="192">
        <v>42</v>
      </c>
      <c r="H13" s="192" t="s">
        <v>681</v>
      </c>
      <c r="I13" s="193"/>
      <c r="J13" s="193">
        <v>37415960</v>
      </c>
      <c r="K13" s="193">
        <v>35173180</v>
      </c>
      <c r="L13" s="193">
        <v>2242780</v>
      </c>
      <c r="M13" s="118"/>
      <c r="N13" s="30"/>
      <c r="O13" s="30"/>
      <c r="P13" s="30"/>
      <c r="Q13" s="571"/>
    </row>
    <row r="14" spans="1:22" s="53" customFormat="1">
      <c r="A14" s="69"/>
      <c r="B14" s="191" t="s">
        <v>657</v>
      </c>
      <c r="C14" s="373" t="s">
        <v>658</v>
      </c>
      <c r="D14" s="373" t="s">
        <v>679</v>
      </c>
      <c r="E14" s="566">
        <v>3</v>
      </c>
      <c r="F14" s="191" t="s">
        <v>682</v>
      </c>
      <c r="G14" s="192"/>
      <c r="H14" s="192" t="s">
        <v>683</v>
      </c>
      <c r="I14" s="193">
        <v>5126</v>
      </c>
      <c r="J14" s="193">
        <v>37415960</v>
      </c>
      <c r="K14" s="193">
        <v>35168054</v>
      </c>
      <c r="L14" s="193">
        <v>2247906</v>
      </c>
      <c r="M14" s="118"/>
      <c r="N14" s="30"/>
      <c r="O14" s="30"/>
      <c r="P14" s="30"/>
      <c r="Q14" s="571"/>
    </row>
    <row r="15" spans="1:22" s="53" customFormat="1">
      <c r="A15" s="69"/>
      <c r="B15" s="191" t="s">
        <v>657</v>
      </c>
      <c r="C15" s="373" t="s">
        <v>658</v>
      </c>
      <c r="D15" s="373" t="s">
        <v>679</v>
      </c>
      <c r="E15" s="566">
        <v>100</v>
      </c>
      <c r="F15" s="191" t="s">
        <v>684</v>
      </c>
      <c r="G15" s="192"/>
      <c r="H15" s="192" t="s">
        <v>661</v>
      </c>
      <c r="I15" s="193">
        <v>281822</v>
      </c>
      <c r="J15" s="193">
        <v>37415960</v>
      </c>
      <c r="K15" s="193">
        <v>35449876</v>
      </c>
      <c r="L15" s="193">
        <v>1966084</v>
      </c>
      <c r="M15" s="118"/>
      <c r="N15" s="30"/>
      <c r="O15" s="30"/>
      <c r="P15" s="30"/>
      <c r="Q15" s="571"/>
    </row>
    <row r="16" spans="1:22" s="53" customFormat="1">
      <c r="A16" s="69"/>
      <c r="B16" s="191" t="s">
        <v>657</v>
      </c>
      <c r="C16" s="373" t="s">
        <v>658</v>
      </c>
      <c r="D16" s="373" t="s">
        <v>685</v>
      </c>
      <c r="E16" s="566">
        <v>13996910132227</v>
      </c>
      <c r="F16" s="191"/>
      <c r="G16" s="192">
        <v>409</v>
      </c>
      <c r="H16" s="192" t="s">
        <v>681</v>
      </c>
      <c r="I16" s="193"/>
      <c r="J16" s="193">
        <v>37416369</v>
      </c>
      <c r="K16" s="193">
        <v>35449876</v>
      </c>
      <c r="L16" s="193">
        <v>1966493</v>
      </c>
      <c r="M16" s="118"/>
      <c r="N16" s="30"/>
      <c r="O16" s="30"/>
      <c r="P16" s="30"/>
      <c r="Q16" s="571"/>
    </row>
    <row r="17" spans="1:19" s="53" customFormat="1">
      <c r="A17" s="69">
        <v>1</v>
      </c>
      <c r="B17" s="194" t="s">
        <v>657</v>
      </c>
      <c r="C17" s="386" t="s">
        <v>658</v>
      </c>
      <c r="D17" s="386" t="s">
        <v>686</v>
      </c>
      <c r="E17" s="567">
        <v>101</v>
      </c>
      <c r="F17" s="194" t="s">
        <v>687</v>
      </c>
      <c r="G17" s="195"/>
      <c r="H17" s="195" t="s">
        <v>661</v>
      </c>
      <c r="I17" s="195">
        <v>83010</v>
      </c>
      <c r="J17" s="195">
        <v>37416369</v>
      </c>
      <c r="K17" s="195">
        <v>35532886</v>
      </c>
      <c r="L17" s="195">
        <v>1883483</v>
      </c>
      <c r="M17" s="118"/>
      <c r="N17" s="30"/>
      <c r="O17" s="30"/>
      <c r="P17" s="30"/>
      <c r="Q17" s="571"/>
    </row>
    <row r="18" spans="1:19" s="53" customFormat="1">
      <c r="A18" s="69"/>
      <c r="B18" s="194"/>
      <c r="C18" s="386" t="s">
        <v>688</v>
      </c>
      <c r="D18" s="386"/>
      <c r="E18" s="567"/>
      <c r="F18" s="194"/>
      <c r="G18" s="195">
        <v>25106</v>
      </c>
      <c r="H18" s="195"/>
      <c r="I18" s="195">
        <v>545848</v>
      </c>
      <c r="J18" s="195"/>
      <c r="K18" s="195"/>
      <c r="L18" s="195"/>
      <c r="M18" s="118"/>
      <c r="N18" s="30"/>
      <c r="O18" s="30"/>
      <c r="P18" s="30"/>
      <c r="Q18" s="571"/>
      <c r="S18" s="68"/>
    </row>
    <row r="19" spans="1:19" s="221" customFormat="1">
      <c r="A19" s="218"/>
      <c r="B19" s="194"/>
      <c r="C19" s="386"/>
      <c r="D19" s="386"/>
      <c r="E19" s="567"/>
      <c r="F19" s="194"/>
      <c r="G19" s="195"/>
      <c r="H19" s="195"/>
      <c r="I19" s="195"/>
      <c r="J19" s="195"/>
      <c r="K19" s="195"/>
      <c r="L19" s="195"/>
      <c r="M19" s="219"/>
      <c r="N19" s="220"/>
      <c r="O19" s="30"/>
      <c r="P19" s="30"/>
      <c r="Q19" s="572"/>
    </row>
    <row r="20" spans="1:19" s="221" customFormat="1" ht="14.25">
      <c r="A20" s="218"/>
      <c r="B20" s="222"/>
      <c r="C20" s="387"/>
      <c r="D20" s="387"/>
      <c r="E20" s="568"/>
      <c r="F20" s="222"/>
      <c r="G20" s="219"/>
      <c r="H20" s="219"/>
      <c r="I20" s="219"/>
      <c r="J20" s="219"/>
      <c r="K20" s="219"/>
      <c r="L20" s="219"/>
      <c r="M20" s="219"/>
      <c r="N20" s="220"/>
      <c r="O20" s="220"/>
      <c r="P20" s="220"/>
      <c r="Q20" s="572"/>
    </row>
    <row r="21" spans="1:19" s="221" customFormat="1" ht="14.25">
      <c r="A21" s="218"/>
      <c r="B21" s="222"/>
      <c r="C21" s="387"/>
      <c r="D21" s="387"/>
      <c r="E21" s="568"/>
      <c r="F21" s="222"/>
      <c r="G21" s="219"/>
      <c r="H21" s="219"/>
      <c r="I21" s="219"/>
      <c r="J21" s="219"/>
      <c r="K21" s="219"/>
      <c r="L21" s="219"/>
      <c r="M21" s="219"/>
      <c r="N21" s="220"/>
      <c r="O21" s="220"/>
      <c r="P21" s="220"/>
      <c r="Q21" s="572"/>
    </row>
    <row r="22" spans="1:19" s="221" customFormat="1" ht="14.25">
      <c r="A22" s="218"/>
      <c r="B22" s="222"/>
      <c r="C22" s="387"/>
      <c r="D22" s="387"/>
      <c r="E22" s="568"/>
      <c r="F22" s="223"/>
      <c r="G22" s="219"/>
      <c r="H22" s="219"/>
      <c r="I22" s="219"/>
      <c r="J22" s="219"/>
      <c r="K22" s="219"/>
      <c r="L22" s="219"/>
      <c r="M22" s="219"/>
      <c r="N22" s="220"/>
      <c r="O22" s="220"/>
      <c r="P22" s="220"/>
      <c r="Q22" s="572"/>
    </row>
    <row r="23" spans="1:19" s="53" customFormat="1">
      <c r="A23" s="69"/>
      <c r="B23" s="116"/>
      <c r="C23" s="116"/>
      <c r="D23" s="116"/>
      <c r="E23" s="116"/>
      <c r="F23" s="117"/>
      <c r="G23" s="118"/>
      <c r="H23" s="118"/>
      <c r="I23" s="118"/>
      <c r="J23" s="118"/>
      <c r="K23" s="118"/>
      <c r="L23" s="118"/>
      <c r="M23" s="118"/>
      <c r="N23" s="30"/>
      <c r="O23" s="220"/>
      <c r="P23" s="220"/>
      <c r="Q23" s="571"/>
    </row>
    <row r="24" spans="1:19" s="53" customFormat="1">
      <c r="A24" s="69"/>
      <c r="B24" s="116"/>
      <c r="C24" s="116"/>
      <c r="D24" s="116"/>
      <c r="E24" s="116"/>
      <c r="F24" s="117"/>
      <c r="G24" s="118"/>
      <c r="H24" s="118"/>
      <c r="I24" s="118"/>
      <c r="J24" s="118"/>
      <c r="K24" s="118"/>
      <c r="L24" s="118"/>
      <c r="M24" s="118"/>
      <c r="N24" s="30"/>
      <c r="O24" s="30"/>
      <c r="P24" s="30"/>
      <c r="Q24" s="571"/>
    </row>
    <row r="25" spans="1:19" s="53" customFormat="1">
      <c r="A25" s="69"/>
      <c r="B25" s="116"/>
      <c r="C25" s="116"/>
      <c r="D25" s="116"/>
      <c r="E25" s="116"/>
      <c r="F25" s="117"/>
      <c r="G25" s="118"/>
      <c r="H25" s="118"/>
      <c r="I25" s="118"/>
      <c r="J25" s="118"/>
      <c r="K25" s="118"/>
      <c r="L25" s="118"/>
      <c r="M25" s="118"/>
      <c r="N25" s="30"/>
      <c r="O25" s="30"/>
      <c r="P25" s="30"/>
      <c r="Q25" s="571"/>
    </row>
    <row r="26" spans="1:19">
      <c r="B26" s="49"/>
      <c r="C26" s="49"/>
      <c r="D26" s="49"/>
      <c r="E26" s="49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571"/>
    </row>
    <row r="27" spans="1:19">
      <c r="B27" s="49"/>
      <c r="C27" s="49"/>
      <c r="D27" s="49"/>
      <c r="E27" s="49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571"/>
    </row>
    <row r="28" spans="1:19">
      <c r="B28" s="49"/>
      <c r="C28" s="49"/>
      <c r="D28" s="49"/>
      <c r="E28" s="49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571"/>
    </row>
    <row r="29" spans="1:19">
      <c r="B29" s="49"/>
      <c r="C29" s="49"/>
      <c r="D29" s="49"/>
      <c r="E29" s="49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571"/>
    </row>
    <row r="30" spans="1:19">
      <c r="B30" s="49"/>
      <c r="C30" s="49"/>
      <c r="D30" s="49"/>
      <c r="E30" s="49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571"/>
    </row>
    <row r="31" spans="1:19">
      <c r="B31" s="49"/>
      <c r="C31" s="49"/>
      <c r="D31" s="49"/>
      <c r="E31" s="49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571"/>
    </row>
    <row r="32" spans="1:19">
      <c r="B32" s="49"/>
      <c r="C32" s="49"/>
      <c r="D32" s="49"/>
      <c r="E32" s="49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571"/>
    </row>
    <row r="33" spans="2:17">
      <c r="B33" s="49"/>
      <c r="C33" s="49"/>
      <c r="D33" s="49"/>
      <c r="E33" s="49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571"/>
    </row>
    <row r="34" spans="2:17">
      <c r="B34" s="49"/>
      <c r="C34" s="49"/>
      <c r="D34" s="49"/>
      <c r="E34" s="49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571"/>
    </row>
    <row r="35" spans="2:17">
      <c r="B35" s="49"/>
      <c r="C35" s="49"/>
      <c r="D35" s="49"/>
      <c r="E35" s="49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571"/>
    </row>
    <row r="36" spans="2:17">
      <c r="B36" s="49"/>
      <c r="C36" s="49"/>
      <c r="D36" s="49"/>
      <c r="E36" s="49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571"/>
    </row>
    <row r="37" spans="2:17">
      <c r="B37" s="49"/>
      <c r="C37" s="49"/>
      <c r="D37" s="49"/>
      <c r="E37" s="49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571"/>
    </row>
    <row r="38" spans="2:17">
      <c r="B38" s="49"/>
      <c r="C38" s="49"/>
      <c r="D38" s="49"/>
      <c r="E38" s="49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571"/>
    </row>
    <row r="39" spans="2:17">
      <c r="B39" s="49"/>
      <c r="C39" s="49"/>
      <c r="D39" s="49"/>
      <c r="E39" s="49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571"/>
    </row>
    <row r="40" spans="2:17">
      <c r="B40" s="49"/>
      <c r="C40" s="49"/>
      <c r="D40" s="49"/>
      <c r="E40" s="49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571"/>
    </row>
    <row r="41" spans="2:17">
      <c r="B41" s="49"/>
      <c r="C41" s="49"/>
      <c r="D41" s="49"/>
      <c r="E41" s="49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571"/>
    </row>
    <row r="42" spans="2:17">
      <c r="B42" s="49"/>
      <c r="C42" s="49"/>
      <c r="D42" s="49"/>
      <c r="E42" s="49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571"/>
    </row>
    <row r="43" spans="2:17">
      <c r="B43" s="49"/>
      <c r="C43" s="49"/>
      <c r="D43" s="49"/>
      <c r="E43" s="49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571"/>
    </row>
    <row r="44" spans="2:17">
      <c r="B44" s="49"/>
      <c r="C44" s="49"/>
      <c r="D44" s="49"/>
      <c r="E44" s="49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571"/>
    </row>
    <row r="45" spans="2:17">
      <c r="B45" s="49"/>
      <c r="C45" s="49"/>
      <c r="D45" s="49"/>
      <c r="E45" s="49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571"/>
    </row>
    <row r="46" spans="2:17">
      <c r="B46" s="49"/>
      <c r="C46" s="49"/>
      <c r="D46" s="49"/>
      <c r="E46" s="49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571"/>
    </row>
    <row r="47" spans="2:17">
      <c r="B47" s="49"/>
      <c r="C47" s="49"/>
      <c r="D47" s="49"/>
      <c r="E47" s="49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571"/>
    </row>
    <row r="48" spans="2:17">
      <c r="B48" s="49"/>
      <c r="C48" s="49"/>
      <c r="D48" s="49"/>
      <c r="E48" s="49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571"/>
    </row>
    <row r="49" spans="2:17">
      <c r="B49" s="49"/>
      <c r="C49" s="49"/>
      <c r="D49" s="49"/>
      <c r="E49" s="49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571"/>
    </row>
    <row r="50" spans="2:17">
      <c r="B50" s="49"/>
      <c r="C50" s="49"/>
      <c r="D50" s="49"/>
      <c r="E50" s="49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571"/>
    </row>
    <row r="51" spans="2:17">
      <c r="B51" s="49"/>
      <c r="C51" s="49"/>
      <c r="D51" s="49"/>
      <c r="E51" s="49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571"/>
    </row>
    <row r="52" spans="2:17">
      <c r="B52" s="49"/>
      <c r="C52" s="49"/>
      <c r="D52" s="49"/>
      <c r="E52" s="49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571"/>
    </row>
    <row r="53" spans="2:17">
      <c r="B53" s="49"/>
      <c r="C53" s="49"/>
      <c r="D53" s="49"/>
      <c r="E53" s="49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571"/>
    </row>
    <row r="54" spans="2:17">
      <c r="B54" s="49"/>
      <c r="C54" s="49"/>
      <c r="D54" s="49"/>
      <c r="E54" s="49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571"/>
    </row>
    <row r="55" spans="2:17">
      <c r="B55" s="49"/>
      <c r="C55" s="49"/>
      <c r="D55" s="49"/>
      <c r="E55" s="49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571"/>
    </row>
    <row r="56" spans="2:17">
      <c r="B56" s="49"/>
      <c r="C56" s="49"/>
      <c r="D56" s="49"/>
      <c r="E56" s="49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571"/>
    </row>
    <row r="57" spans="2:17">
      <c r="B57" s="49"/>
      <c r="C57" s="49"/>
      <c r="D57" s="49"/>
      <c r="E57" s="49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571"/>
    </row>
    <row r="58" spans="2:17">
      <c r="B58" s="49"/>
      <c r="C58" s="49"/>
      <c r="D58" s="49"/>
      <c r="E58" s="49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571"/>
    </row>
    <row r="59" spans="2:17">
      <c r="B59" s="49"/>
      <c r="C59" s="49"/>
      <c r="D59" s="49"/>
      <c r="E59" s="49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571"/>
    </row>
    <row r="60" spans="2:17">
      <c r="B60" s="49"/>
      <c r="C60" s="49"/>
      <c r="D60" s="49"/>
      <c r="E60" s="49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571"/>
    </row>
    <row r="61" spans="2:17">
      <c r="B61" s="49"/>
      <c r="C61" s="49"/>
      <c r="D61" s="49"/>
      <c r="E61" s="49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571"/>
    </row>
    <row r="62" spans="2:17">
      <c r="B62" s="49"/>
      <c r="C62" s="49"/>
      <c r="D62" s="49"/>
      <c r="E62" s="49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571"/>
    </row>
    <row r="63" spans="2:17">
      <c r="B63" s="49"/>
      <c r="C63" s="49"/>
      <c r="D63" s="49"/>
      <c r="E63" s="49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571"/>
    </row>
    <row r="64" spans="2:17">
      <c r="B64" s="49"/>
      <c r="C64" s="49"/>
      <c r="D64" s="49"/>
      <c r="E64" s="49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571"/>
    </row>
    <row r="65" spans="2:17">
      <c r="B65" s="49"/>
      <c r="C65" s="49"/>
      <c r="D65" s="49"/>
      <c r="E65" s="49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571"/>
    </row>
    <row r="66" spans="2:17">
      <c r="B66" s="49"/>
      <c r="C66" s="49"/>
      <c r="D66" s="49"/>
      <c r="E66" s="49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571"/>
    </row>
    <row r="67" spans="2:17">
      <c r="B67" s="49"/>
      <c r="C67" s="49"/>
      <c r="D67" s="49"/>
      <c r="E67" s="49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571"/>
    </row>
    <row r="68" spans="2:17">
      <c r="B68" s="49"/>
      <c r="C68" s="49"/>
      <c r="D68" s="49"/>
      <c r="E68" s="49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571"/>
    </row>
    <row r="69" spans="2:17">
      <c r="B69" s="49"/>
      <c r="C69" s="49"/>
      <c r="D69" s="49"/>
      <c r="E69" s="49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571"/>
    </row>
    <row r="70" spans="2:17">
      <c r="B70" s="49"/>
      <c r="C70" s="49"/>
      <c r="D70" s="49"/>
      <c r="E70" s="49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571"/>
    </row>
    <row r="71" spans="2:17">
      <c r="B71" s="49"/>
      <c r="C71" s="49"/>
      <c r="D71" s="49"/>
      <c r="E71" s="49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571"/>
    </row>
    <row r="72" spans="2:17">
      <c r="B72" s="49"/>
      <c r="C72" s="49"/>
      <c r="D72" s="49"/>
      <c r="E72" s="49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571"/>
    </row>
    <row r="73" spans="2:17">
      <c r="B73" s="49"/>
      <c r="C73" s="49"/>
      <c r="D73" s="49"/>
      <c r="E73" s="49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571"/>
    </row>
    <row r="74" spans="2:17">
      <c r="B74" s="49"/>
      <c r="C74" s="49"/>
      <c r="D74" s="49"/>
      <c r="E74" s="49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571"/>
    </row>
    <row r="75" spans="2:17">
      <c r="B75" s="49"/>
      <c r="C75" s="49"/>
      <c r="D75" s="49"/>
      <c r="E75" s="49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571"/>
    </row>
    <row r="76" spans="2:17">
      <c r="B76" s="49"/>
      <c r="C76" s="49"/>
      <c r="D76" s="49"/>
      <c r="E76" s="49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571"/>
    </row>
    <row r="77" spans="2:17">
      <c r="B77" s="49"/>
      <c r="C77" s="49"/>
      <c r="D77" s="49"/>
      <c r="E77" s="49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571"/>
    </row>
    <row r="78" spans="2:17">
      <c r="B78" s="49"/>
      <c r="C78" s="49"/>
      <c r="D78" s="49"/>
      <c r="E78" s="49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571"/>
    </row>
    <row r="79" spans="2:17">
      <c r="B79" s="49"/>
      <c r="C79" s="49"/>
      <c r="D79" s="49"/>
      <c r="E79" s="49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571"/>
    </row>
    <row r="80" spans="2:17">
      <c r="B80" s="49"/>
      <c r="C80" s="49"/>
      <c r="D80" s="49"/>
      <c r="E80" s="49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571"/>
    </row>
    <row r="81" spans="2:17">
      <c r="B81" s="49"/>
      <c r="C81" s="49"/>
      <c r="D81" s="49"/>
      <c r="E81" s="49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571"/>
    </row>
    <row r="82" spans="2:17">
      <c r="B82" s="49"/>
      <c r="C82" s="49"/>
      <c r="D82" s="49"/>
      <c r="E82" s="49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571"/>
    </row>
    <row r="83" spans="2:17">
      <c r="B83" s="49"/>
      <c r="C83" s="49"/>
      <c r="D83" s="49"/>
      <c r="E83" s="49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571"/>
    </row>
    <row r="84" spans="2:17">
      <c r="B84" s="49"/>
      <c r="C84" s="49"/>
      <c r="D84" s="49"/>
      <c r="E84" s="49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571"/>
    </row>
    <row r="85" spans="2:17">
      <c r="B85" s="49"/>
      <c r="C85" s="49"/>
      <c r="D85" s="49"/>
      <c r="E85" s="49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571"/>
    </row>
    <row r="86" spans="2:17">
      <c r="B86" s="49"/>
      <c r="C86" s="49"/>
      <c r="D86" s="49"/>
      <c r="E86" s="49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571"/>
    </row>
    <row r="87" spans="2:17">
      <c r="B87" s="49"/>
      <c r="C87" s="49"/>
      <c r="D87" s="49"/>
      <c r="E87" s="49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571"/>
    </row>
    <row r="88" spans="2:17">
      <c r="B88" s="49"/>
      <c r="C88" s="49"/>
      <c r="D88" s="49"/>
      <c r="E88" s="49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571"/>
    </row>
    <row r="89" spans="2:17">
      <c r="B89" s="49"/>
      <c r="C89" s="49"/>
      <c r="D89" s="49"/>
      <c r="E89" s="49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571"/>
    </row>
    <row r="90" spans="2:17">
      <c r="B90" s="49"/>
      <c r="C90" s="49"/>
      <c r="D90" s="49"/>
      <c r="E90" s="49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571"/>
    </row>
    <row r="91" spans="2:17">
      <c r="B91" s="49"/>
      <c r="C91" s="49"/>
      <c r="D91" s="49"/>
      <c r="E91" s="49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571"/>
    </row>
    <row r="92" spans="2:17">
      <c r="B92" s="49"/>
      <c r="C92" s="49"/>
      <c r="D92" s="49"/>
      <c r="E92" s="49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571"/>
    </row>
    <row r="93" spans="2:17">
      <c r="B93" s="49"/>
      <c r="C93" s="49"/>
      <c r="D93" s="49"/>
      <c r="E93" s="49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571"/>
    </row>
    <row r="94" spans="2:17">
      <c r="B94" s="49"/>
      <c r="C94" s="49"/>
      <c r="D94" s="49"/>
      <c r="E94" s="49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571"/>
    </row>
    <row r="95" spans="2:17">
      <c r="B95" s="49"/>
      <c r="C95" s="49"/>
      <c r="D95" s="49"/>
      <c r="E95" s="49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571"/>
    </row>
    <row r="96" spans="2:17">
      <c r="B96" s="49"/>
      <c r="C96" s="49"/>
      <c r="D96" s="49"/>
      <c r="E96" s="49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571"/>
    </row>
    <row r="97" spans="2:17">
      <c r="B97" s="49"/>
      <c r="C97" s="49"/>
      <c r="D97" s="49"/>
      <c r="E97" s="49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571"/>
    </row>
    <row r="98" spans="2:17">
      <c r="B98" s="49"/>
      <c r="C98" s="49"/>
      <c r="D98" s="49"/>
      <c r="E98" s="49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571"/>
    </row>
    <row r="99" spans="2:17">
      <c r="B99" s="49"/>
      <c r="C99" s="49"/>
      <c r="D99" s="49"/>
      <c r="E99" s="49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571"/>
    </row>
    <row r="100" spans="2:17">
      <c r="B100" s="49"/>
      <c r="C100" s="49"/>
      <c r="D100" s="49"/>
      <c r="E100" s="49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571"/>
    </row>
    <row r="101" spans="2:17">
      <c r="B101" s="49"/>
      <c r="C101" s="49"/>
      <c r="D101" s="49"/>
      <c r="E101" s="49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571"/>
    </row>
    <row r="102" spans="2:17">
      <c r="B102" s="49"/>
      <c r="C102" s="49"/>
      <c r="D102" s="49"/>
      <c r="E102" s="49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571"/>
    </row>
    <row r="103" spans="2:17">
      <c r="B103" s="49"/>
      <c r="C103" s="49"/>
      <c r="D103" s="49"/>
      <c r="E103" s="49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571"/>
    </row>
    <row r="104" spans="2:17">
      <c r="B104" s="49"/>
      <c r="C104" s="49"/>
      <c r="D104" s="49"/>
      <c r="E104" s="49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571"/>
    </row>
    <row r="105" spans="2:17">
      <c r="B105" s="49"/>
      <c r="C105" s="49"/>
      <c r="D105" s="49"/>
      <c r="E105" s="49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571"/>
    </row>
    <row r="106" spans="2:17">
      <c r="B106" s="49"/>
      <c r="C106" s="49"/>
      <c r="D106" s="49"/>
      <c r="E106" s="49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571"/>
    </row>
    <row r="107" spans="2:17">
      <c r="B107" s="49"/>
      <c r="C107" s="49"/>
      <c r="D107" s="49"/>
      <c r="E107" s="49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571"/>
    </row>
    <row r="108" spans="2:17">
      <c r="B108" s="49"/>
      <c r="C108" s="49"/>
      <c r="D108" s="49"/>
      <c r="E108" s="49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571"/>
    </row>
    <row r="109" spans="2:17">
      <c r="B109" s="49"/>
      <c r="C109" s="49"/>
      <c r="D109" s="49"/>
      <c r="E109" s="49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571"/>
    </row>
    <row r="110" spans="2:17">
      <c r="B110" s="49"/>
      <c r="C110" s="49"/>
      <c r="D110" s="49"/>
      <c r="E110" s="49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571"/>
    </row>
    <row r="111" spans="2:17">
      <c r="B111" s="49"/>
      <c r="C111" s="49"/>
      <c r="D111" s="49"/>
      <c r="E111" s="49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571"/>
    </row>
    <row r="112" spans="2:17">
      <c r="B112" s="49"/>
      <c r="C112" s="49"/>
      <c r="D112" s="49"/>
      <c r="E112" s="49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571"/>
    </row>
    <row r="113" spans="2:17">
      <c r="B113" s="49"/>
      <c r="C113" s="49"/>
      <c r="D113" s="49"/>
      <c r="E113" s="49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571"/>
    </row>
    <row r="114" spans="2:17">
      <c r="B114" s="49"/>
      <c r="C114" s="49"/>
      <c r="D114" s="49"/>
      <c r="E114" s="49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571"/>
    </row>
    <row r="115" spans="2:17">
      <c r="B115" s="49"/>
      <c r="C115" s="49"/>
      <c r="D115" s="49"/>
      <c r="E115" s="49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571"/>
    </row>
    <row r="116" spans="2:17">
      <c r="B116" s="49"/>
      <c r="C116" s="49"/>
      <c r="D116" s="49"/>
      <c r="E116" s="49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571"/>
    </row>
    <row r="117" spans="2:17">
      <c r="B117" s="49"/>
      <c r="C117" s="49"/>
      <c r="D117" s="49"/>
      <c r="E117" s="49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571"/>
    </row>
    <row r="118" spans="2:17">
      <c r="B118" s="49"/>
      <c r="C118" s="49"/>
      <c r="D118" s="49"/>
      <c r="E118" s="49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571"/>
    </row>
    <row r="119" spans="2:17">
      <c r="B119" s="49"/>
      <c r="C119" s="49"/>
      <c r="D119" s="49"/>
      <c r="E119" s="49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571"/>
    </row>
    <row r="120" spans="2:17">
      <c r="B120" s="49"/>
      <c r="C120" s="49"/>
      <c r="D120" s="49"/>
      <c r="E120" s="49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571"/>
    </row>
    <row r="121" spans="2:17">
      <c r="B121" s="49"/>
      <c r="C121" s="49"/>
      <c r="D121" s="49"/>
      <c r="E121" s="49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571"/>
    </row>
    <row r="122" spans="2:17">
      <c r="B122" s="49"/>
      <c r="C122" s="49"/>
      <c r="D122" s="49"/>
      <c r="E122" s="49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571"/>
    </row>
    <row r="123" spans="2:17">
      <c r="B123" s="49"/>
      <c r="C123" s="49"/>
      <c r="D123" s="49"/>
      <c r="E123" s="49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571"/>
    </row>
    <row r="124" spans="2:17">
      <c r="B124" s="49"/>
      <c r="C124" s="49"/>
      <c r="D124" s="49"/>
      <c r="E124" s="49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571"/>
    </row>
    <row r="125" spans="2:17">
      <c r="B125" s="49"/>
      <c r="C125" s="49"/>
      <c r="D125" s="49"/>
      <c r="E125" s="49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571"/>
    </row>
    <row r="126" spans="2:17">
      <c r="B126" s="49"/>
      <c r="C126" s="49"/>
      <c r="D126" s="49"/>
      <c r="E126" s="49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571"/>
    </row>
    <row r="127" spans="2:17">
      <c r="B127" s="49"/>
      <c r="C127" s="49"/>
      <c r="D127" s="49"/>
      <c r="E127" s="49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571"/>
    </row>
    <row r="128" spans="2:17">
      <c r="B128" s="49"/>
      <c r="C128" s="49"/>
      <c r="D128" s="49"/>
      <c r="E128" s="49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571"/>
    </row>
    <row r="129" spans="2:17">
      <c r="B129" s="49"/>
      <c r="C129" s="49"/>
      <c r="D129" s="49"/>
      <c r="E129" s="49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571"/>
    </row>
    <row r="130" spans="2:17">
      <c r="B130" s="49"/>
      <c r="C130" s="49"/>
      <c r="D130" s="49"/>
      <c r="E130" s="49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571"/>
    </row>
    <row r="131" spans="2:17">
      <c r="B131" s="49"/>
      <c r="C131" s="49"/>
      <c r="D131" s="49"/>
      <c r="E131" s="49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571"/>
    </row>
    <row r="132" spans="2:17">
      <c r="B132" s="49"/>
      <c r="C132" s="49"/>
      <c r="D132" s="49"/>
      <c r="E132" s="49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571"/>
    </row>
    <row r="133" spans="2:17">
      <c r="B133" s="49"/>
      <c r="C133" s="49"/>
      <c r="D133" s="49"/>
      <c r="E133" s="49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571"/>
    </row>
    <row r="134" spans="2:17">
      <c r="B134" s="49"/>
      <c r="C134" s="49"/>
      <c r="D134" s="49"/>
      <c r="E134" s="49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571"/>
    </row>
    <row r="135" spans="2:17">
      <c r="B135" s="49"/>
      <c r="C135" s="49"/>
      <c r="D135" s="49"/>
      <c r="E135" s="49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571"/>
    </row>
    <row r="136" spans="2:17">
      <c r="B136" s="49"/>
      <c r="C136" s="49"/>
      <c r="D136" s="49"/>
      <c r="E136" s="49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571"/>
    </row>
    <row r="137" spans="2:17">
      <c r="B137" s="49"/>
      <c r="C137" s="49"/>
      <c r="D137" s="49"/>
      <c r="E137" s="49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571"/>
    </row>
    <row r="138" spans="2:17">
      <c r="B138" s="49"/>
      <c r="C138" s="49"/>
      <c r="D138" s="49"/>
      <c r="E138" s="49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571"/>
    </row>
    <row r="139" spans="2:17">
      <c r="B139" s="49"/>
      <c r="C139" s="49"/>
      <c r="D139" s="49"/>
      <c r="E139" s="49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571"/>
    </row>
    <row r="140" spans="2:17">
      <c r="B140" s="49"/>
      <c r="C140" s="49"/>
      <c r="D140" s="49"/>
      <c r="E140" s="49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571"/>
    </row>
    <row r="141" spans="2:17">
      <c r="B141" s="49"/>
      <c r="C141" s="49"/>
      <c r="D141" s="49"/>
      <c r="E141" s="49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571"/>
    </row>
    <row r="142" spans="2:17">
      <c r="B142" s="49"/>
      <c r="C142" s="49"/>
      <c r="D142" s="49"/>
      <c r="E142" s="49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571"/>
    </row>
    <row r="143" spans="2:17">
      <c r="B143" s="49"/>
      <c r="C143" s="49"/>
      <c r="D143" s="49"/>
      <c r="E143" s="49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571"/>
    </row>
    <row r="144" spans="2:17">
      <c r="B144" s="49"/>
      <c r="C144" s="49"/>
      <c r="D144" s="49"/>
      <c r="E144" s="49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571"/>
    </row>
    <row r="145" spans="2:17">
      <c r="B145" s="49"/>
      <c r="C145" s="49"/>
      <c r="D145" s="49"/>
      <c r="E145" s="49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571"/>
    </row>
    <row r="146" spans="2:17">
      <c r="B146" s="49"/>
      <c r="C146" s="49"/>
      <c r="D146" s="49"/>
      <c r="E146" s="49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571"/>
    </row>
    <row r="147" spans="2:17">
      <c r="B147" s="49"/>
      <c r="C147" s="49"/>
      <c r="D147" s="49"/>
      <c r="E147" s="49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571"/>
    </row>
    <row r="148" spans="2:17">
      <c r="B148" s="49"/>
      <c r="C148" s="49"/>
      <c r="D148" s="49"/>
      <c r="E148" s="49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571"/>
    </row>
    <row r="149" spans="2:17">
      <c r="B149" s="49"/>
      <c r="C149" s="49"/>
      <c r="D149" s="49"/>
      <c r="E149" s="49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571"/>
    </row>
    <row r="150" spans="2:17">
      <c r="B150" s="49"/>
      <c r="C150" s="49"/>
      <c r="D150" s="49"/>
      <c r="E150" s="49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571"/>
    </row>
    <row r="151" spans="2:17">
      <c r="B151" s="49"/>
      <c r="C151" s="49"/>
      <c r="D151" s="49"/>
      <c r="E151" s="49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571"/>
    </row>
    <row r="152" spans="2:17">
      <c r="B152" s="49"/>
      <c r="C152" s="49"/>
      <c r="D152" s="49"/>
      <c r="E152" s="49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571"/>
    </row>
    <row r="153" spans="2:17">
      <c r="B153" s="49"/>
      <c r="C153" s="49"/>
      <c r="D153" s="49"/>
      <c r="E153" s="49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571"/>
    </row>
    <row r="154" spans="2:17">
      <c r="B154" s="49"/>
      <c r="C154" s="49"/>
      <c r="D154" s="49"/>
      <c r="E154" s="49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571"/>
    </row>
    <row r="155" spans="2:17">
      <c r="B155" s="49"/>
      <c r="C155" s="49"/>
      <c r="D155" s="49"/>
      <c r="E155" s="49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571"/>
    </row>
    <row r="156" spans="2:17">
      <c r="B156" s="49"/>
      <c r="C156" s="49"/>
      <c r="D156" s="49"/>
      <c r="E156" s="49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571"/>
    </row>
    <row r="157" spans="2:17">
      <c r="B157" s="49"/>
      <c r="C157" s="49"/>
      <c r="D157" s="49"/>
      <c r="E157" s="49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571"/>
    </row>
    <row r="158" spans="2:17">
      <c r="B158" s="49"/>
      <c r="C158" s="49"/>
      <c r="D158" s="49"/>
      <c r="E158" s="49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571"/>
    </row>
    <row r="159" spans="2:17">
      <c r="B159" s="49"/>
      <c r="C159" s="49"/>
      <c r="D159" s="49"/>
      <c r="E159" s="49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571"/>
    </row>
    <row r="160" spans="2:17">
      <c r="B160" s="49"/>
      <c r="C160" s="49"/>
      <c r="D160" s="49"/>
      <c r="E160" s="49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571"/>
    </row>
    <row r="161" spans="2:17">
      <c r="B161" s="49"/>
      <c r="C161" s="49"/>
      <c r="D161" s="49"/>
      <c r="E161" s="49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571"/>
    </row>
    <row r="162" spans="2:17">
      <c r="B162" s="49"/>
      <c r="C162" s="49"/>
      <c r="D162" s="49"/>
      <c r="E162" s="49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571"/>
    </row>
    <row r="163" spans="2:17">
      <c r="B163" s="49"/>
      <c r="C163" s="49"/>
      <c r="D163" s="49"/>
      <c r="E163" s="49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571"/>
    </row>
    <row r="164" spans="2:17">
      <c r="B164" s="49"/>
      <c r="C164" s="49"/>
      <c r="D164" s="49"/>
      <c r="E164" s="49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571"/>
    </row>
    <row r="165" spans="2:17">
      <c r="B165" s="49"/>
      <c r="C165" s="49"/>
      <c r="D165" s="49"/>
      <c r="E165" s="49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571"/>
    </row>
    <row r="166" spans="2:17">
      <c r="B166" s="49"/>
      <c r="C166" s="49"/>
      <c r="D166" s="49"/>
      <c r="E166" s="49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571"/>
    </row>
    <row r="167" spans="2:17">
      <c r="B167" s="49"/>
      <c r="C167" s="49"/>
      <c r="D167" s="49"/>
      <c r="E167" s="49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571"/>
    </row>
    <row r="168" spans="2:17">
      <c r="B168" s="49"/>
      <c r="C168" s="49"/>
      <c r="D168" s="49"/>
      <c r="E168" s="49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571"/>
    </row>
    <row r="169" spans="2:17">
      <c r="B169" s="49"/>
      <c r="C169" s="49"/>
      <c r="D169" s="49"/>
      <c r="E169" s="49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571"/>
    </row>
    <row r="170" spans="2:17">
      <c r="B170" s="49"/>
      <c r="C170" s="49"/>
      <c r="D170" s="49"/>
      <c r="E170" s="49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571"/>
    </row>
    <row r="171" spans="2:17">
      <c r="B171" s="49"/>
      <c r="C171" s="49"/>
      <c r="D171" s="49"/>
      <c r="E171" s="49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571"/>
    </row>
    <row r="172" spans="2:17">
      <c r="B172" s="49"/>
      <c r="C172" s="49"/>
      <c r="D172" s="49"/>
      <c r="E172" s="49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571"/>
    </row>
    <row r="173" spans="2:17">
      <c r="B173" s="49"/>
      <c r="C173" s="49"/>
      <c r="D173" s="49"/>
      <c r="E173" s="49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571"/>
    </row>
    <row r="174" spans="2:17">
      <c r="B174" s="49"/>
      <c r="C174" s="49"/>
      <c r="D174" s="49"/>
      <c r="E174" s="49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571"/>
    </row>
    <row r="175" spans="2:17">
      <c r="B175" s="49"/>
      <c r="C175" s="49"/>
      <c r="D175" s="49"/>
      <c r="E175" s="49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571"/>
    </row>
    <row r="176" spans="2:17">
      <c r="B176" s="49"/>
      <c r="C176" s="49"/>
      <c r="D176" s="49"/>
      <c r="E176" s="49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571"/>
    </row>
    <row r="177" spans="2:17">
      <c r="B177" s="49"/>
      <c r="C177" s="49"/>
      <c r="D177" s="49"/>
      <c r="E177" s="49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571"/>
    </row>
    <row r="178" spans="2:17">
      <c r="B178" s="49"/>
      <c r="C178" s="49"/>
      <c r="D178" s="49"/>
      <c r="E178" s="49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571"/>
    </row>
    <row r="179" spans="2:17">
      <c r="B179" s="49"/>
      <c r="C179" s="49"/>
      <c r="D179" s="49"/>
      <c r="E179" s="49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571"/>
    </row>
    <row r="180" spans="2:17">
      <c r="B180" s="49"/>
      <c r="C180" s="49"/>
      <c r="D180" s="49"/>
      <c r="E180" s="49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571"/>
    </row>
    <row r="181" spans="2:17">
      <c r="B181" s="49"/>
      <c r="C181" s="49"/>
      <c r="D181" s="49"/>
      <c r="E181" s="49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571"/>
    </row>
    <row r="182" spans="2:17">
      <c r="B182" s="49"/>
      <c r="C182" s="49"/>
      <c r="D182" s="49"/>
      <c r="E182" s="49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571"/>
    </row>
    <row r="183" spans="2:17">
      <c r="B183" s="49"/>
      <c r="C183" s="49"/>
      <c r="D183" s="49"/>
      <c r="E183" s="49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571"/>
    </row>
    <row r="184" spans="2:17">
      <c r="B184" s="49"/>
      <c r="C184" s="49"/>
      <c r="D184" s="49"/>
      <c r="E184" s="49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571"/>
    </row>
    <row r="185" spans="2:17">
      <c r="B185" s="49"/>
      <c r="C185" s="49"/>
      <c r="D185" s="49"/>
      <c r="E185" s="49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571"/>
    </row>
    <row r="186" spans="2:17">
      <c r="B186" s="49"/>
      <c r="C186" s="49"/>
      <c r="D186" s="49"/>
      <c r="E186" s="49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571"/>
    </row>
    <row r="187" spans="2:17">
      <c r="B187" s="49"/>
      <c r="C187" s="49"/>
      <c r="D187" s="49"/>
      <c r="E187" s="49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571"/>
    </row>
    <row r="188" spans="2:17">
      <c r="B188" s="49"/>
      <c r="C188" s="49"/>
      <c r="D188" s="49"/>
      <c r="E188" s="49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571"/>
    </row>
    <row r="189" spans="2:17">
      <c r="B189" s="49"/>
      <c r="C189" s="49"/>
      <c r="D189" s="49"/>
      <c r="E189" s="49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571"/>
    </row>
    <row r="190" spans="2:17">
      <c r="B190" s="49"/>
      <c r="C190" s="49"/>
      <c r="D190" s="49"/>
      <c r="E190" s="49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571"/>
    </row>
    <row r="191" spans="2:17">
      <c r="B191" s="49"/>
      <c r="C191" s="49"/>
      <c r="D191" s="49"/>
      <c r="E191" s="49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571"/>
    </row>
    <row r="192" spans="2:17">
      <c r="B192" s="49"/>
      <c r="C192" s="49"/>
      <c r="D192" s="49"/>
      <c r="E192" s="49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571"/>
    </row>
    <row r="193" spans="2:17">
      <c r="B193" s="49"/>
      <c r="C193" s="49"/>
      <c r="D193" s="49"/>
      <c r="E193" s="49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571"/>
    </row>
    <row r="194" spans="2:17">
      <c r="B194" s="49"/>
      <c r="C194" s="49"/>
      <c r="D194" s="49"/>
      <c r="E194" s="49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571"/>
    </row>
    <row r="195" spans="2:17">
      <c r="B195" s="49"/>
      <c r="C195" s="49"/>
      <c r="D195" s="49"/>
      <c r="E195" s="49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571"/>
    </row>
    <row r="196" spans="2:17">
      <c r="B196" s="49"/>
      <c r="C196" s="49"/>
      <c r="D196" s="49"/>
      <c r="E196" s="49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571"/>
    </row>
    <row r="197" spans="2:17">
      <c r="B197" s="49"/>
      <c r="C197" s="49"/>
      <c r="D197" s="49"/>
      <c r="E197" s="49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571"/>
    </row>
    <row r="198" spans="2:17">
      <c r="B198" s="49"/>
      <c r="C198" s="49"/>
      <c r="D198" s="49"/>
      <c r="E198" s="49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571"/>
    </row>
    <row r="199" spans="2:17">
      <c r="B199" s="49"/>
      <c r="C199" s="49"/>
      <c r="D199" s="49"/>
      <c r="E199" s="49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571"/>
    </row>
    <row r="200" spans="2:17">
      <c r="B200" s="49"/>
      <c r="C200" s="49"/>
      <c r="D200" s="49"/>
      <c r="E200" s="49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571"/>
    </row>
    <row r="201" spans="2:17">
      <c r="B201" s="49"/>
      <c r="C201" s="49"/>
      <c r="D201" s="49"/>
      <c r="E201" s="49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571"/>
    </row>
    <row r="202" spans="2:17">
      <c r="B202" s="49"/>
      <c r="C202" s="49"/>
      <c r="D202" s="49"/>
      <c r="E202" s="49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571"/>
    </row>
    <row r="203" spans="2:17">
      <c r="B203" s="49"/>
      <c r="C203" s="49"/>
      <c r="D203" s="49"/>
      <c r="E203" s="49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571"/>
    </row>
    <row r="204" spans="2:17">
      <c r="B204" s="49"/>
      <c r="C204" s="49"/>
      <c r="D204" s="49"/>
      <c r="E204" s="49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571"/>
    </row>
    <row r="205" spans="2:17">
      <c r="B205" s="49"/>
      <c r="C205" s="49"/>
      <c r="D205" s="49"/>
      <c r="E205" s="49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571"/>
    </row>
    <row r="206" spans="2:17">
      <c r="B206" s="49"/>
      <c r="C206" s="49"/>
      <c r="D206" s="49"/>
      <c r="E206" s="49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571"/>
    </row>
    <row r="207" spans="2:17">
      <c r="B207" s="49"/>
      <c r="C207" s="49"/>
      <c r="D207" s="49"/>
      <c r="E207" s="49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571"/>
    </row>
    <row r="208" spans="2:17">
      <c r="B208" s="49"/>
      <c r="C208" s="49"/>
      <c r="D208" s="49"/>
      <c r="E208" s="49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571"/>
    </row>
    <row r="209" spans="2:17">
      <c r="B209" s="49"/>
      <c r="C209" s="49"/>
      <c r="D209" s="49"/>
      <c r="E209" s="49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571"/>
    </row>
    <row r="210" spans="2:17">
      <c r="B210" s="49"/>
      <c r="C210" s="49"/>
      <c r="D210" s="49"/>
      <c r="E210" s="49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571"/>
    </row>
    <row r="211" spans="2:17">
      <c r="B211" s="49"/>
      <c r="C211" s="49"/>
      <c r="D211" s="49"/>
      <c r="E211" s="49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571"/>
    </row>
    <row r="212" spans="2:17">
      <c r="B212" s="49"/>
      <c r="C212" s="49"/>
      <c r="D212" s="49"/>
      <c r="E212" s="49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571"/>
    </row>
    <row r="213" spans="2:17">
      <c r="B213" s="49"/>
      <c r="C213" s="49"/>
      <c r="D213" s="49"/>
      <c r="E213" s="49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571"/>
    </row>
    <row r="214" spans="2:17">
      <c r="B214" s="49"/>
      <c r="C214" s="49"/>
      <c r="D214" s="49"/>
      <c r="E214" s="49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571"/>
    </row>
    <row r="215" spans="2:17">
      <c r="B215" s="49"/>
      <c r="C215" s="49"/>
      <c r="D215" s="49"/>
      <c r="E215" s="49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571"/>
    </row>
    <row r="216" spans="2:17">
      <c r="B216" s="49"/>
      <c r="C216" s="49"/>
      <c r="D216" s="49"/>
      <c r="E216" s="49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571"/>
    </row>
    <row r="217" spans="2:17">
      <c r="B217" s="49"/>
      <c r="C217" s="49"/>
      <c r="D217" s="49"/>
      <c r="E217" s="49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571"/>
    </row>
    <row r="218" spans="2:17">
      <c r="B218" s="49"/>
      <c r="C218" s="49"/>
      <c r="D218" s="49"/>
      <c r="E218" s="49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571"/>
    </row>
    <row r="219" spans="2:17">
      <c r="B219" s="49"/>
      <c r="C219" s="49"/>
      <c r="D219" s="49"/>
      <c r="E219" s="49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571"/>
    </row>
    <row r="220" spans="2:17">
      <c r="B220" s="49"/>
      <c r="C220" s="49"/>
      <c r="D220" s="49"/>
      <c r="E220" s="49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571"/>
    </row>
    <row r="221" spans="2:17">
      <c r="B221" s="49"/>
      <c r="C221" s="49"/>
      <c r="D221" s="49"/>
      <c r="E221" s="49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571"/>
    </row>
    <row r="222" spans="2:17">
      <c r="B222" s="49"/>
      <c r="C222" s="49"/>
      <c r="D222" s="49"/>
      <c r="E222" s="49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571"/>
    </row>
    <row r="223" spans="2:17">
      <c r="B223" s="49"/>
      <c r="C223" s="49"/>
      <c r="D223" s="49"/>
      <c r="E223" s="49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571"/>
    </row>
    <row r="224" spans="2:17">
      <c r="B224" s="49"/>
      <c r="C224" s="49"/>
      <c r="D224" s="49"/>
      <c r="E224" s="49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571"/>
    </row>
    <row r="225" spans="2:17">
      <c r="B225" s="49"/>
      <c r="C225" s="49"/>
      <c r="D225" s="49"/>
      <c r="E225" s="49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571"/>
    </row>
    <row r="226" spans="2:17">
      <c r="B226" s="49"/>
      <c r="C226" s="49"/>
      <c r="D226" s="49"/>
      <c r="E226" s="49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571"/>
    </row>
    <row r="227" spans="2:17">
      <c r="B227" s="49"/>
      <c r="C227" s="49"/>
      <c r="D227" s="49"/>
      <c r="E227" s="49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571"/>
    </row>
    <row r="228" spans="2:17">
      <c r="B228" s="49"/>
      <c r="C228" s="49"/>
      <c r="D228" s="49"/>
      <c r="E228" s="49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571"/>
    </row>
    <row r="229" spans="2:17">
      <c r="B229" s="49"/>
      <c r="C229" s="49"/>
      <c r="D229" s="49"/>
      <c r="E229" s="49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571"/>
    </row>
    <row r="230" spans="2:17">
      <c r="B230" s="49"/>
      <c r="C230" s="49"/>
      <c r="D230" s="49"/>
      <c r="E230" s="49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571"/>
    </row>
    <row r="231" spans="2:17">
      <c r="B231" s="49"/>
      <c r="C231" s="49"/>
      <c r="D231" s="49"/>
      <c r="E231" s="49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571"/>
    </row>
    <row r="232" spans="2:17">
      <c r="B232" s="49"/>
      <c r="C232" s="49"/>
      <c r="D232" s="49"/>
      <c r="E232" s="49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571"/>
    </row>
    <row r="233" spans="2:17">
      <c r="B233" s="49"/>
      <c r="C233" s="49"/>
      <c r="D233" s="49"/>
      <c r="E233" s="49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571"/>
    </row>
    <row r="234" spans="2:17">
      <c r="B234" s="49"/>
      <c r="C234" s="49"/>
      <c r="D234" s="49"/>
      <c r="E234" s="49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571"/>
    </row>
    <row r="235" spans="2:17">
      <c r="B235" s="49"/>
      <c r="C235" s="49"/>
      <c r="D235" s="49"/>
      <c r="E235" s="49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571"/>
    </row>
    <row r="236" spans="2:17">
      <c r="B236" s="49"/>
      <c r="C236" s="49"/>
      <c r="D236" s="49"/>
      <c r="E236" s="49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571"/>
    </row>
    <row r="237" spans="2:17">
      <c r="B237" s="49"/>
      <c r="C237" s="49"/>
      <c r="D237" s="49"/>
      <c r="E237" s="49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571"/>
    </row>
    <row r="238" spans="2:17">
      <c r="B238" s="49"/>
      <c r="C238" s="49"/>
      <c r="D238" s="49"/>
      <c r="E238" s="49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571"/>
    </row>
    <row r="239" spans="2:17">
      <c r="B239" s="49"/>
      <c r="C239" s="49"/>
      <c r="D239" s="49"/>
      <c r="E239" s="49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571"/>
    </row>
    <row r="240" spans="2:17">
      <c r="B240" s="49"/>
      <c r="C240" s="49"/>
      <c r="D240" s="49"/>
      <c r="E240" s="49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571"/>
    </row>
    <row r="241" spans="2:17">
      <c r="B241" s="49"/>
      <c r="C241" s="49"/>
      <c r="D241" s="49"/>
      <c r="E241" s="49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571"/>
    </row>
    <row r="242" spans="2:17">
      <c r="B242" s="49"/>
      <c r="C242" s="49"/>
      <c r="D242" s="49"/>
      <c r="E242" s="49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571"/>
    </row>
    <row r="243" spans="2:17">
      <c r="B243" s="49"/>
      <c r="C243" s="49"/>
      <c r="D243" s="49"/>
      <c r="E243" s="49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571"/>
    </row>
    <row r="244" spans="2:17">
      <c r="B244" s="49"/>
      <c r="C244" s="49"/>
      <c r="D244" s="49"/>
      <c r="E244" s="49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571"/>
    </row>
    <row r="245" spans="2:17">
      <c r="B245" s="49"/>
      <c r="C245" s="49"/>
      <c r="D245" s="49"/>
      <c r="E245" s="49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571"/>
    </row>
    <row r="246" spans="2:17">
      <c r="B246" s="49"/>
      <c r="C246" s="49"/>
      <c r="D246" s="49"/>
      <c r="E246" s="49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571"/>
    </row>
    <row r="247" spans="2:17">
      <c r="B247" s="49"/>
      <c r="C247" s="49"/>
      <c r="D247" s="49"/>
      <c r="E247" s="49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571"/>
    </row>
    <row r="248" spans="2:17">
      <c r="B248" s="49"/>
      <c r="C248" s="49"/>
      <c r="D248" s="49"/>
      <c r="E248" s="49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571"/>
    </row>
    <row r="249" spans="2:17">
      <c r="B249" s="49"/>
      <c r="C249" s="49"/>
      <c r="D249" s="49"/>
      <c r="E249" s="49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571"/>
    </row>
    <row r="250" spans="2:17">
      <c r="B250" s="49"/>
      <c r="C250" s="49"/>
      <c r="D250" s="49"/>
      <c r="E250" s="49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571"/>
    </row>
    <row r="251" spans="2:17">
      <c r="B251" s="49"/>
      <c r="C251" s="49"/>
      <c r="D251" s="49"/>
      <c r="E251" s="49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571"/>
    </row>
    <row r="252" spans="2:17">
      <c r="B252" s="49"/>
      <c r="C252" s="49"/>
      <c r="D252" s="49"/>
      <c r="E252" s="49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571"/>
    </row>
    <row r="253" spans="2:17">
      <c r="B253" s="49"/>
      <c r="C253" s="49"/>
      <c r="D253" s="49"/>
      <c r="E253" s="49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571"/>
    </row>
    <row r="254" spans="2:17">
      <c r="B254" s="49"/>
      <c r="C254" s="49"/>
      <c r="D254" s="49"/>
      <c r="E254" s="49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571"/>
    </row>
    <row r="255" spans="2:17">
      <c r="B255" s="49"/>
      <c r="C255" s="49"/>
      <c r="D255" s="49"/>
      <c r="E255" s="49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571"/>
    </row>
    <row r="256" spans="2:17">
      <c r="B256" s="49"/>
      <c r="C256" s="49"/>
      <c r="D256" s="49"/>
      <c r="E256" s="49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571"/>
    </row>
    <row r="257" spans="2:17">
      <c r="B257" s="49"/>
      <c r="C257" s="49"/>
      <c r="D257" s="49"/>
      <c r="E257" s="49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571"/>
    </row>
    <row r="258" spans="2:17">
      <c r="B258" s="49"/>
      <c r="C258" s="49"/>
      <c r="D258" s="49"/>
      <c r="E258" s="49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571"/>
    </row>
    <row r="259" spans="2:17">
      <c r="B259" s="49"/>
      <c r="C259" s="49"/>
      <c r="D259" s="49"/>
      <c r="E259" s="49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571"/>
    </row>
    <row r="260" spans="2:17">
      <c r="B260" s="49"/>
      <c r="C260" s="49"/>
      <c r="D260" s="49"/>
      <c r="E260" s="49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571"/>
    </row>
    <row r="261" spans="2:17">
      <c r="B261" s="49"/>
      <c r="C261" s="49"/>
      <c r="D261" s="49"/>
      <c r="E261" s="49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571"/>
    </row>
    <row r="262" spans="2:17">
      <c r="B262" s="49"/>
      <c r="C262" s="49"/>
      <c r="D262" s="49"/>
      <c r="E262" s="49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571"/>
    </row>
    <row r="263" spans="2:17">
      <c r="B263" s="49"/>
      <c r="C263" s="49"/>
      <c r="D263" s="49"/>
      <c r="E263" s="49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571"/>
    </row>
    <row r="264" spans="2:17">
      <c r="B264" s="49"/>
      <c r="C264" s="49"/>
      <c r="D264" s="49"/>
      <c r="E264" s="49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571"/>
    </row>
    <row r="265" spans="2:17">
      <c r="B265" s="49"/>
      <c r="C265" s="49"/>
      <c r="D265" s="49"/>
      <c r="E265" s="49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571"/>
    </row>
    <row r="266" spans="2:17">
      <c r="B266" s="49"/>
      <c r="C266" s="49"/>
      <c r="D266" s="49"/>
      <c r="E266" s="49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571"/>
    </row>
    <row r="267" spans="2:17">
      <c r="B267" s="49"/>
      <c r="C267" s="49"/>
      <c r="D267" s="49"/>
      <c r="E267" s="49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571"/>
    </row>
    <row r="268" spans="2:17">
      <c r="B268" s="49"/>
      <c r="C268" s="49"/>
      <c r="D268" s="49"/>
      <c r="E268" s="49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571"/>
    </row>
    <row r="269" spans="2:17">
      <c r="B269" s="49"/>
      <c r="C269" s="49"/>
      <c r="D269" s="49"/>
      <c r="E269" s="49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571"/>
    </row>
    <row r="270" spans="2:17">
      <c r="B270" s="49"/>
      <c r="C270" s="49"/>
      <c r="D270" s="49"/>
      <c r="E270" s="49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571"/>
    </row>
    <row r="271" spans="2:17">
      <c r="B271" s="49"/>
      <c r="C271" s="49"/>
      <c r="D271" s="49"/>
      <c r="E271" s="49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571"/>
    </row>
    <row r="272" spans="2:17">
      <c r="B272" s="49"/>
      <c r="C272" s="49"/>
      <c r="D272" s="49"/>
      <c r="E272" s="49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571"/>
    </row>
    <row r="273" spans="2:17">
      <c r="B273" s="49"/>
      <c r="C273" s="49"/>
      <c r="D273" s="49"/>
      <c r="E273" s="49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571"/>
    </row>
    <row r="274" spans="2:17">
      <c r="B274" s="49"/>
      <c r="C274" s="49"/>
      <c r="D274" s="49"/>
      <c r="E274" s="49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571"/>
    </row>
    <row r="275" spans="2:17">
      <c r="B275" s="49"/>
      <c r="C275" s="49"/>
      <c r="D275" s="49"/>
      <c r="E275" s="49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571"/>
    </row>
    <row r="276" spans="2:17">
      <c r="B276" s="49"/>
      <c r="C276" s="49"/>
      <c r="D276" s="49"/>
      <c r="E276" s="49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571"/>
    </row>
    <row r="277" spans="2:17">
      <c r="B277" s="49"/>
      <c r="C277" s="49"/>
      <c r="D277" s="49"/>
      <c r="E277" s="49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571"/>
    </row>
    <row r="278" spans="2:17">
      <c r="B278" s="49"/>
      <c r="C278" s="49"/>
      <c r="D278" s="49"/>
      <c r="E278" s="49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571"/>
    </row>
    <row r="279" spans="2:17">
      <c r="B279" s="49"/>
      <c r="C279" s="49"/>
      <c r="D279" s="49"/>
      <c r="E279" s="49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571"/>
    </row>
    <row r="280" spans="2:17">
      <c r="B280" s="49"/>
      <c r="C280" s="49"/>
      <c r="D280" s="49"/>
      <c r="E280" s="49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571"/>
    </row>
    <row r="281" spans="2:17">
      <c r="B281" s="49"/>
      <c r="C281" s="49"/>
      <c r="D281" s="49"/>
      <c r="E281" s="49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571"/>
    </row>
    <row r="282" spans="2:17">
      <c r="B282" s="49"/>
      <c r="C282" s="49"/>
      <c r="D282" s="49"/>
      <c r="E282" s="49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571"/>
    </row>
    <row r="283" spans="2:17">
      <c r="B283" s="49"/>
      <c r="C283" s="49"/>
      <c r="D283" s="49"/>
      <c r="E283" s="49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571"/>
    </row>
    <row r="284" spans="2:17">
      <c r="B284" s="49"/>
      <c r="C284" s="49"/>
      <c r="D284" s="49"/>
      <c r="E284" s="49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571"/>
    </row>
    <row r="285" spans="2:17">
      <c r="B285" s="49"/>
      <c r="C285" s="49"/>
      <c r="D285" s="49"/>
      <c r="E285" s="49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571"/>
    </row>
    <row r="286" spans="2:17">
      <c r="B286" s="49"/>
      <c r="C286" s="49"/>
      <c r="D286" s="49"/>
      <c r="E286" s="49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571"/>
    </row>
    <row r="287" spans="2:17">
      <c r="B287" s="49"/>
      <c r="C287" s="49"/>
      <c r="D287" s="49"/>
      <c r="E287" s="49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571"/>
    </row>
    <row r="288" spans="2:17">
      <c r="B288" s="49"/>
      <c r="C288" s="49"/>
      <c r="D288" s="49"/>
      <c r="E288" s="49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571"/>
    </row>
    <row r="289" spans="2:17">
      <c r="B289" s="49"/>
      <c r="C289" s="49"/>
      <c r="D289" s="49"/>
      <c r="E289" s="49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571"/>
    </row>
    <row r="290" spans="2:17">
      <c r="B290" s="49"/>
      <c r="C290" s="49"/>
      <c r="D290" s="49"/>
      <c r="E290" s="49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571"/>
    </row>
    <row r="291" spans="2:17">
      <c r="B291" s="49"/>
      <c r="C291" s="49"/>
      <c r="D291" s="49"/>
      <c r="E291" s="49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571"/>
    </row>
    <row r="292" spans="2:17">
      <c r="B292" s="49"/>
      <c r="C292" s="49"/>
      <c r="D292" s="49"/>
      <c r="E292" s="49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571"/>
    </row>
    <row r="293" spans="2:17">
      <c r="B293" s="49"/>
      <c r="C293" s="49"/>
      <c r="D293" s="49"/>
      <c r="E293" s="49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571"/>
    </row>
    <row r="294" spans="2:17">
      <c r="B294" s="49"/>
      <c r="C294" s="49"/>
      <c r="D294" s="49"/>
      <c r="E294" s="49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571"/>
    </row>
    <row r="295" spans="2:17">
      <c r="B295" s="49"/>
      <c r="C295" s="49"/>
      <c r="D295" s="49"/>
      <c r="E295" s="49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571"/>
    </row>
    <row r="296" spans="2:17">
      <c r="B296" s="49"/>
      <c r="C296" s="49"/>
      <c r="D296" s="49"/>
      <c r="E296" s="49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571"/>
    </row>
    <row r="297" spans="2:17">
      <c r="B297" s="49"/>
      <c r="C297" s="49"/>
      <c r="D297" s="49"/>
      <c r="E297" s="49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571"/>
    </row>
    <row r="298" spans="2:17">
      <c r="B298" s="49"/>
      <c r="C298" s="49"/>
      <c r="D298" s="49"/>
      <c r="E298" s="49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571"/>
    </row>
    <row r="299" spans="2:17">
      <c r="B299" s="49"/>
      <c r="C299" s="49"/>
      <c r="D299" s="49"/>
      <c r="E299" s="49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571"/>
    </row>
    <row r="300" spans="2:17">
      <c r="B300" s="49"/>
      <c r="C300" s="49"/>
      <c r="D300" s="49"/>
      <c r="E300" s="49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571"/>
    </row>
    <row r="301" spans="2:17">
      <c r="B301" s="49"/>
      <c r="C301" s="49"/>
      <c r="D301" s="49"/>
      <c r="E301" s="49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571"/>
    </row>
    <row r="302" spans="2:17">
      <c r="B302" s="49"/>
      <c r="C302" s="49"/>
      <c r="D302" s="49"/>
      <c r="E302" s="49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571"/>
    </row>
    <row r="303" spans="2:17">
      <c r="B303" s="49"/>
      <c r="C303" s="49"/>
      <c r="D303" s="49"/>
      <c r="E303" s="49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571"/>
    </row>
    <row r="304" spans="2:17">
      <c r="B304" s="49"/>
      <c r="C304" s="49"/>
      <c r="D304" s="49"/>
      <c r="E304" s="49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571"/>
    </row>
    <row r="305" spans="2:17">
      <c r="B305" s="49"/>
      <c r="C305" s="49"/>
      <c r="D305" s="49"/>
      <c r="E305" s="49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571"/>
    </row>
    <row r="306" spans="2:17">
      <c r="B306" s="49"/>
      <c r="C306" s="49"/>
      <c r="D306" s="49"/>
      <c r="E306" s="49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571"/>
    </row>
    <row r="307" spans="2:17">
      <c r="B307" s="49"/>
      <c r="C307" s="49"/>
      <c r="D307" s="49"/>
      <c r="E307" s="49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571"/>
    </row>
    <row r="308" spans="2:17">
      <c r="B308" s="49"/>
      <c r="C308" s="49"/>
      <c r="D308" s="49"/>
      <c r="E308" s="49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571"/>
    </row>
    <row r="309" spans="2:17">
      <c r="B309" s="49"/>
      <c r="C309" s="49"/>
      <c r="D309" s="49"/>
      <c r="E309" s="49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571"/>
    </row>
    <row r="310" spans="2:17">
      <c r="B310" s="49"/>
      <c r="C310" s="49"/>
      <c r="D310" s="49"/>
      <c r="E310" s="49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571"/>
    </row>
    <row r="311" spans="2:17">
      <c r="B311" s="49"/>
      <c r="C311" s="49"/>
      <c r="D311" s="49"/>
      <c r="E311" s="49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571"/>
    </row>
    <row r="312" spans="2:17">
      <c r="B312" s="49"/>
      <c r="C312" s="49"/>
      <c r="D312" s="49"/>
      <c r="E312" s="49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571"/>
    </row>
    <row r="313" spans="2:17">
      <c r="B313" s="49"/>
      <c r="C313" s="49"/>
      <c r="D313" s="49"/>
      <c r="E313" s="49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571"/>
    </row>
    <row r="314" spans="2:17">
      <c r="B314" s="49"/>
      <c r="C314" s="49"/>
      <c r="D314" s="49"/>
      <c r="E314" s="49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571"/>
    </row>
    <row r="315" spans="2:17">
      <c r="B315" s="49"/>
      <c r="C315" s="49"/>
      <c r="D315" s="49"/>
      <c r="E315" s="49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571"/>
    </row>
    <row r="316" spans="2:17">
      <c r="B316" s="49"/>
      <c r="C316" s="49"/>
      <c r="D316" s="49"/>
      <c r="E316" s="49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571"/>
    </row>
    <row r="317" spans="2:17">
      <c r="B317" s="49"/>
      <c r="C317" s="49"/>
      <c r="D317" s="49"/>
      <c r="E317" s="49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571"/>
    </row>
    <row r="318" spans="2:17">
      <c r="B318" s="49"/>
      <c r="C318" s="49"/>
      <c r="D318" s="49"/>
      <c r="E318" s="49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571"/>
    </row>
    <row r="319" spans="2:17">
      <c r="B319" s="49"/>
      <c r="C319" s="49"/>
      <c r="D319" s="49"/>
      <c r="E319" s="49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571"/>
    </row>
    <row r="320" spans="2:17">
      <c r="B320" s="49"/>
      <c r="C320" s="49"/>
      <c r="D320" s="49"/>
      <c r="E320" s="49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571"/>
    </row>
    <row r="321" spans="2:17">
      <c r="B321" s="49"/>
      <c r="C321" s="49"/>
      <c r="D321" s="49"/>
      <c r="E321" s="49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571"/>
    </row>
    <row r="322" spans="2:17">
      <c r="B322" s="49"/>
      <c r="C322" s="49"/>
      <c r="D322" s="49"/>
      <c r="E322" s="49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571"/>
    </row>
    <row r="323" spans="2:17">
      <c r="B323" s="49"/>
      <c r="C323" s="49"/>
      <c r="D323" s="49"/>
      <c r="E323" s="49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571"/>
    </row>
    <row r="324" spans="2:17">
      <c r="B324" s="49"/>
      <c r="C324" s="49"/>
      <c r="D324" s="49"/>
      <c r="E324" s="49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571"/>
    </row>
    <row r="325" spans="2:17">
      <c r="B325" s="49"/>
      <c r="C325" s="49"/>
      <c r="D325" s="49"/>
      <c r="E325" s="49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571"/>
    </row>
    <row r="326" spans="2:17">
      <c r="B326" s="49"/>
      <c r="C326" s="49"/>
      <c r="D326" s="49"/>
      <c r="E326" s="49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571"/>
    </row>
    <row r="327" spans="2:17">
      <c r="B327" s="49"/>
      <c r="C327" s="49"/>
      <c r="D327" s="49"/>
      <c r="E327" s="49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571"/>
    </row>
    <row r="328" spans="2:17">
      <c r="B328" s="49"/>
      <c r="C328" s="49"/>
      <c r="D328" s="49"/>
      <c r="E328" s="49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571"/>
    </row>
    <row r="329" spans="2:17">
      <c r="B329" s="49"/>
      <c r="C329" s="49"/>
      <c r="D329" s="49"/>
      <c r="E329" s="49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571"/>
    </row>
    <row r="330" spans="2:17">
      <c r="B330" s="49"/>
      <c r="C330" s="49"/>
      <c r="D330" s="49"/>
      <c r="E330" s="49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571"/>
    </row>
    <row r="331" spans="2:17">
      <c r="B331" s="49"/>
      <c r="C331" s="49"/>
      <c r="D331" s="49"/>
      <c r="E331" s="49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571"/>
    </row>
    <row r="332" spans="2:17">
      <c r="B332" s="49"/>
      <c r="C332" s="49"/>
      <c r="D332" s="49"/>
      <c r="E332" s="49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571"/>
    </row>
    <row r="333" spans="2:17">
      <c r="B333" s="49"/>
      <c r="C333" s="49"/>
      <c r="D333" s="49"/>
      <c r="E333" s="49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571"/>
    </row>
    <row r="334" spans="2:17">
      <c r="B334" s="49"/>
      <c r="C334" s="49"/>
      <c r="D334" s="49"/>
      <c r="E334" s="49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571"/>
    </row>
    <row r="335" spans="2:17">
      <c r="B335" s="49"/>
      <c r="C335" s="49"/>
      <c r="D335" s="49"/>
      <c r="E335" s="49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571"/>
    </row>
    <row r="336" spans="2:17">
      <c r="B336" s="49"/>
      <c r="C336" s="49"/>
      <c r="D336" s="49"/>
      <c r="E336" s="49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571"/>
    </row>
    <row r="337" spans="2:17">
      <c r="B337" s="49"/>
      <c r="C337" s="49"/>
      <c r="D337" s="49"/>
      <c r="E337" s="49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571"/>
    </row>
    <row r="338" spans="2:17">
      <c r="B338" s="49"/>
      <c r="C338" s="49"/>
      <c r="D338" s="49"/>
      <c r="E338" s="49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571"/>
    </row>
    <row r="339" spans="2:17">
      <c r="B339" s="49"/>
      <c r="C339" s="49"/>
      <c r="D339" s="49"/>
      <c r="E339" s="49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571"/>
    </row>
    <row r="340" spans="2:17">
      <c r="B340" s="49"/>
      <c r="C340" s="49"/>
      <c r="D340" s="49"/>
      <c r="E340" s="49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571"/>
    </row>
    <row r="341" spans="2:17">
      <c r="B341" s="49"/>
      <c r="C341" s="49"/>
      <c r="D341" s="49"/>
      <c r="E341" s="49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571"/>
    </row>
    <row r="342" spans="2:17">
      <c r="B342" s="49"/>
      <c r="C342" s="49"/>
      <c r="D342" s="49"/>
      <c r="E342" s="49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571"/>
    </row>
    <row r="343" spans="2:17">
      <c r="B343" s="49"/>
      <c r="C343" s="49"/>
      <c r="D343" s="49"/>
      <c r="E343" s="49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571"/>
    </row>
    <row r="344" spans="2:17">
      <c r="B344" s="49"/>
      <c r="C344" s="49"/>
      <c r="D344" s="49"/>
      <c r="E344" s="49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571"/>
    </row>
    <row r="345" spans="2:17">
      <c r="B345" s="49"/>
      <c r="C345" s="49"/>
      <c r="D345" s="49"/>
      <c r="E345" s="49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571"/>
    </row>
    <row r="346" spans="2:17">
      <c r="B346" s="49"/>
      <c r="C346" s="49"/>
      <c r="D346" s="49"/>
      <c r="E346" s="49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571"/>
    </row>
    <row r="347" spans="2:17">
      <c r="B347" s="49"/>
      <c r="C347" s="49"/>
      <c r="D347" s="49"/>
      <c r="E347" s="49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571"/>
    </row>
    <row r="348" spans="2:17">
      <c r="B348" s="49"/>
      <c r="C348" s="49"/>
      <c r="D348" s="49"/>
      <c r="E348" s="49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571"/>
    </row>
    <row r="349" spans="2:17">
      <c r="B349" s="49"/>
      <c r="C349" s="49"/>
      <c r="D349" s="49"/>
      <c r="E349" s="49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571"/>
    </row>
    <row r="350" spans="2:17">
      <c r="B350" s="49"/>
      <c r="C350" s="49"/>
      <c r="D350" s="49"/>
      <c r="E350" s="49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571"/>
    </row>
    <row r="351" spans="2:17">
      <c r="B351" s="49"/>
      <c r="C351" s="49"/>
      <c r="D351" s="49"/>
      <c r="E351" s="49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571"/>
    </row>
    <row r="352" spans="2:17">
      <c r="B352" s="49"/>
      <c r="C352" s="49"/>
      <c r="D352" s="49"/>
      <c r="E352" s="49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571"/>
    </row>
    <row r="353" spans="2:17">
      <c r="B353" s="49"/>
      <c r="C353" s="49"/>
      <c r="D353" s="49"/>
      <c r="E353" s="49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571"/>
    </row>
    <row r="354" spans="2:17">
      <c r="B354" s="49"/>
      <c r="C354" s="49"/>
      <c r="D354" s="49"/>
      <c r="E354" s="49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571"/>
    </row>
    <row r="355" spans="2:17">
      <c r="B355" s="49"/>
      <c r="C355" s="49"/>
      <c r="D355" s="49"/>
      <c r="E355" s="49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571"/>
    </row>
    <row r="356" spans="2:17">
      <c r="B356" s="49"/>
      <c r="C356" s="49"/>
      <c r="D356" s="49"/>
      <c r="E356" s="49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571"/>
    </row>
    <row r="357" spans="2:17">
      <c r="B357" s="49"/>
      <c r="C357" s="49"/>
      <c r="D357" s="49"/>
      <c r="E357" s="49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571"/>
    </row>
    <row r="358" spans="2:17">
      <c r="B358" s="49"/>
      <c r="C358" s="49"/>
      <c r="D358" s="49"/>
      <c r="E358" s="49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571"/>
    </row>
    <row r="359" spans="2:17">
      <c r="B359" s="49"/>
      <c r="C359" s="49"/>
      <c r="D359" s="49"/>
      <c r="E359" s="49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571"/>
    </row>
    <row r="360" spans="2:17">
      <c r="B360" s="49"/>
      <c r="C360" s="49"/>
      <c r="D360" s="49"/>
      <c r="E360" s="49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571"/>
    </row>
    <row r="361" spans="2:17">
      <c r="B361" s="49"/>
      <c r="C361" s="49"/>
      <c r="D361" s="49"/>
      <c r="E361" s="49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571"/>
    </row>
    <row r="362" spans="2:17">
      <c r="B362" s="49"/>
      <c r="C362" s="49"/>
      <c r="D362" s="49"/>
      <c r="E362" s="49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571"/>
    </row>
    <row r="363" spans="2:17">
      <c r="B363" s="49"/>
      <c r="C363" s="49"/>
      <c r="D363" s="49"/>
      <c r="E363" s="49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571"/>
    </row>
    <row r="364" spans="2:17">
      <c r="B364" s="49"/>
      <c r="C364" s="49"/>
      <c r="D364" s="49"/>
      <c r="E364" s="49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571"/>
    </row>
    <row r="365" spans="2:17">
      <c r="B365" s="49"/>
      <c r="C365" s="49"/>
      <c r="D365" s="49"/>
      <c r="E365" s="49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571"/>
    </row>
    <row r="366" spans="2:17">
      <c r="B366" s="49"/>
      <c r="C366" s="49"/>
      <c r="D366" s="49"/>
      <c r="E366" s="49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571"/>
    </row>
    <row r="367" spans="2:17">
      <c r="B367" s="49"/>
      <c r="C367" s="49"/>
      <c r="D367" s="49"/>
      <c r="E367" s="49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571"/>
    </row>
    <row r="368" spans="2:17">
      <c r="B368" s="49"/>
      <c r="C368" s="49"/>
      <c r="D368" s="49"/>
      <c r="E368" s="49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571"/>
    </row>
    <row r="369" spans="2:17">
      <c r="B369" s="49"/>
      <c r="C369" s="49"/>
      <c r="D369" s="49"/>
      <c r="E369" s="49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571"/>
    </row>
    <row r="370" spans="2:17">
      <c r="B370" s="49"/>
      <c r="C370" s="49"/>
      <c r="D370" s="49"/>
      <c r="E370" s="49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571"/>
    </row>
    <row r="371" spans="2:17">
      <c r="B371" s="49"/>
      <c r="C371" s="49"/>
      <c r="D371" s="49"/>
      <c r="E371" s="49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571"/>
    </row>
    <row r="372" spans="2:17">
      <c r="B372" s="49"/>
      <c r="C372" s="49"/>
      <c r="D372" s="49"/>
      <c r="E372" s="49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571"/>
    </row>
    <row r="373" spans="2:17">
      <c r="B373" s="49"/>
      <c r="C373" s="49"/>
      <c r="D373" s="49"/>
      <c r="E373" s="49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571"/>
    </row>
    <row r="374" spans="2:17">
      <c r="B374" s="49"/>
      <c r="C374" s="49"/>
      <c r="D374" s="49"/>
      <c r="E374" s="49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571"/>
    </row>
    <row r="375" spans="2:17">
      <c r="B375" s="49"/>
      <c r="C375" s="49"/>
      <c r="D375" s="49"/>
      <c r="E375" s="49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571"/>
    </row>
    <row r="376" spans="2:17">
      <c r="B376" s="49"/>
      <c r="C376" s="49"/>
      <c r="D376" s="49"/>
      <c r="E376" s="49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571"/>
    </row>
    <row r="377" spans="2:17">
      <c r="B377" s="49"/>
      <c r="C377" s="49"/>
      <c r="D377" s="49"/>
      <c r="E377" s="49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571"/>
    </row>
    <row r="378" spans="2:17">
      <c r="B378" s="49"/>
      <c r="C378" s="49"/>
      <c r="D378" s="49"/>
      <c r="E378" s="49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571"/>
    </row>
    <row r="379" spans="2:17">
      <c r="B379" s="49"/>
      <c r="C379" s="49"/>
      <c r="D379" s="49"/>
      <c r="E379" s="49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571"/>
    </row>
    <row r="380" spans="2:17">
      <c r="B380" s="49"/>
      <c r="C380" s="49"/>
      <c r="D380" s="49"/>
      <c r="E380" s="49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571"/>
    </row>
    <row r="381" spans="2:17">
      <c r="B381" s="49"/>
      <c r="C381" s="49"/>
      <c r="D381" s="49"/>
      <c r="E381" s="49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571"/>
    </row>
    <row r="382" spans="2:17">
      <c r="B382" s="49"/>
      <c r="C382" s="49"/>
      <c r="D382" s="49"/>
      <c r="E382" s="49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571"/>
    </row>
    <row r="383" spans="2:17">
      <c r="B383" s="49"/>
      <c r="C383" s="49"/>
      <c r="D383" s="49"/>
      <c r="E383" s="49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571"/>
    </row>
    <row r="384" spans="2:17">
      <c r="B384" s="49"/>
      <c r="C384" s="49"/>
      <c r="D384" s="49"/>
      <c r="E384" s="49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571"/>
    </row>
    <row r="385" spans="2:17">
      <c r="B385" s="49"/>
      <c r="C385" s="49"/>
      <c r="D385" s="49"/>
      <c r="E385" s="49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571"/>
    </row>
    <row r="386" spans="2:17">
      <c r="B386" s="49"/>
      <c r="C386" s="49"/>
      <c r="D386" s="49"/>
      <c r="E386" s="49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571"/>
    </row>
    <row r="387" spans="2:17">
      <c r="B387" s="49"/>
      <c r="C387" s="49"/>
      <c r="D387" s="49"/>
      <c r="E387" s="49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571"/>
    </row>
    <row r="388" spans="2:17">
      <c r="B388" s="49"/>
      <c r="C388" s="49"/>
      <c r="D388" s="49"/>
      <c r="E388" s="49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571"/>
    </row>
    <row r="389" spans="2:17">
      <c r="B389" s="49"/>
      <c r="C389" s="49"/>
      <c r="D389" s="49"/>
      <c r="E389" s="49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571"/>
    </row>
    <row r="390" spans="2:17">
      <c r="B390" s="49"/>
      <c r="C390" s="49"/>
      <c r="D390" s="49"/>
      <c r="E390" s="49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571"/>
    </row>
    <row r="391" spans="2:17">
      <c r="B391" s="49"/>
      <c r="C391" s="49"/>
      <c r="D391" s="49"/>
      <c r="E391" s="49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571"/>
    </row>
    <row r="392" spans="2:17">
      <c r="B392" s="49"/>
      <c r="C392" s="49"/>
      <c r="D392" s="49"/>
      <c r="E392" s="49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571"/>
    </row>
    <row r="393" spans="2:17">
      <c r="B393" s="49"/>
      <c r="C393" s="49"/>
      <c r="D393" s="49"/>
      <c r="E393" s="49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571"/>
    </row>
    <row r="394" spans="2:17">
      <c r="B394" s="49"/>
      <c r="C394" s="49"/>
      <c r="D394" s="49"/>
      <c r="E394" s="49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571"/>
    </row>
    <row r="395" spans="2:17">
      <c r="B395" s="49"/>
      <c r="C395" s="49"/>
      <c r="D395" s="49"/>
      <c r="E395" s="49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571"/>
    </row>
    <row r="396" spans="2:17">
      <c r="B396" s="49"/>
      <c r="C396" s="49"/>
      <c r="D396" s="49"/>
      <c r="E396" s="49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571"/>
    </row>
    <row r="397" spans="2:17">
      <c r="B397" s="49"/>
      <c r="C397" s="49"/>
      <c r="D397" s="49"/>
      <c r="E397" s="49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571"/>
    </row>
    <row r="398" spans="2:17">
      <c r="B398" s="49"/>
      <c r="C398" s="49"/>
      <c r="D398" s="49"/>
      <c r="E398" s="49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571"/>
    </row>
    <row r="399" spans="2:17">
      <c r="B399" s="49"/>
      <c r="C399" s="49"/>
      <c r="D399" s="49"/>
      <c r="E399" s="49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571"/>
    </row>
    <row r="400" spans="2:17">
      <c r="B400" s="49"/>
      <c r="C400" s="49"/>
      <c r="D400" s="49"/>
      <c r="E400" s="49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571"/>
    </row>
    <row r="401" spans="2:17">
      <c r="B401" s="49"/>
      <c r="C401" s="49"/>
      <c r="D401" s="49"/>
      <c r="E401" s="49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571"/>
    </row>
    <row r="402" spans="2:17">
      <c r="B402" s="49"/>
      <c r="C402" s="49"/>
      <c r="D402" s="49"/>
      <c r="E402" s="49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571"/>
    </row>
    <row r="403" spans="2:17">
      <c r="B403" s="49"/>
      <c r="C403" s="49"/>
      <c r="D403" s="49"/>
      <c r="E403" s="49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571"/>
    </row>
    <row r="404" spans="2:17">
      <c r="B404" s="49"/>
      <c r="C404" s="49"/>
      <c r="D404" s="49"/>
      <c r="E404" s="49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571"/>
    </row>
    <row r="405" spans="2:17">
      <c r="B405" s="49"/>
      <c r="C405" s="49"/>
      <c r="D405" s="49"/>
      <c r="E405" s="49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571"/>
    </row>
    <row r="406" spans="2:17">
      <c r="B406" s="49"/>
      <c r="C406" s="49"/>
      <c r="D406" s="49"/>
      <c r="E406" s="49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571"/>
    </row>
    <row r="407" spans="2:17">
      <c r="B407" s="49"/>
      <c r="C407" s="49"/>
      <c r="D407" s="49"/>
      <c r="E407" s="49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571"/>
    </row>
    <row r="408" spans="2:17">
      <c r="B408" s="49"/>
      <c r="C408" s="49"/>
      <c r="D408" s="49"/>
      <c r="E408" s="49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571"/>
    </row>
    <row r="409" spans="2:17">
      <c r="B409" s="49"/>
      <c r="C409" s="49"/>
      <c r="D409" s="49"/>
      <c r="E409" s="49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571"/>
    </row>
    <row r="410" spans="2:17">
      <c r="B410" s="49"/>
      <c r="C410" s="49"/>
      <c r="D410" s="49"/>
      <c r="E410" s="49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571"/>
    </row>
    <row r="411" spans="2:17">
      <c r="B411" s="49"/>
      <c r="C411" s="49"/>
      <c r="D411" s="49"/>
      <c r="E411" s="49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571"/>
    </row>
    <row r="412" spans="2:17">
      <c r="B412" s="49"/>
      <c r="C412" s="49"/>
      <c r="D412" s="49"/>
      <c r="E412" s="49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571"/>
    </row>
    <row r="413" spans="2:17">
      <c r="B413" s="49"/>
      <c r="C413" s="49"/>
      <c r="D413" s="49"/>
      <c r="E413" s="49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571"/>
    </row>
    <row r="414" spans="2:17">
      <c r="B414" s="49"/>
      <c r="C414" s="49"/>
      <c r="D414" s="49"/>
      <c r="E414" s="49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571"/>
    </row>
    <row r="415" spans="2:17">
      <c r="B415" s="49"/>
      <c r="C415" s="49"/>
      <c r="D415" s="49"/>
      <c r="E415" s="49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571"/>
    </row>
    <row r="416" spans="2:17">
      <c r="B416" s="49"/>
      <c r="C416" s="49"/>
      <c r="D416" s="49"/>
      <c r="E416" s="49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571"/>
    </row>
    <row r="417" spans="2:17">
      <c r="B417" s="49"/>
      <c r="C417" s="49"/>
      <c r="D417" s="49"/>
      <c r="E417" s="49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571"/>
    </row>
    <row r="418" spans="2:17">
      <c r="B418" s="49"/>
      <c r="C418" s="49"/>
      <c r="D418" s="49"/>
      <c r="E418" s="49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571"/>
    </row>
    <row r="419" spans="2:17">
      <c r="B419" s="49"/>
      <c r="C419" s="49"/>
      <c r="D419" s="49"/>
      <c r="E419" s="49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571"/>
    </row>
    <row r="420" spans="2:17">
      <c r="B420" s="49"/>
      <c r="C420" s="49"/>
      <c r="D420" s="49"/>
      <c r="E420" s="49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571"/>
    </row>
    <row r="421" spans="2:17">
      <c r="B421" s="49"/>
      <c r="C421" s="49"/>
      <c r="D421" s="49"/>
      <c r="E421" s="49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571"/>
    </row>
    <row r="422" spans="2:17">
      <c r="B422" s="49"/>
      <c r="C422" s="49"/>
      <c r="D422" s="49"/>
      <c r="E422" s="49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571"/>
    </row>
    <row r="423" spans="2:17">
      <c r="B423" s="49"/>
      <c r="C423" s="49"/>
      <c r="D423" s="49"/>
      <c r="E423" s="49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571"/>
    </row>
    <row r="424" spans="2:17">
      <c r="B424" s="49"/>
      <c r="C424" s="49"/>
      <c r="D424" s="49"/>
      <c r="E424" s="49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571"/>
    </row>
    <row r="425" spans="2:17">
      <c r="B425" s="49"/>
      <c r="C425" s="49"/>
      <c r="D425" s="49"/>
      <c r="E425" s="49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571"/>
    </row>
    <row r="426" spans="2:17">
      <c r="B426" s="49"/>
      <c r="C426" s="49"/>
      <c r="D426" s="49"/>
      <c r="E426" s="49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571"/>
    </row>
    <row r="427" spans="2:17">
      <c r="B427" s="49"/>
      <c r="C427" s="49"/>
      <c r="D427" s="49"/>
      <c r="E427" s="49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571"/>
    </row>
    <row r="428" spans="2:17">
      <c r="B428" s="49"/>
      <c r="C428" s="49"/>
      <c r="D428" s="49"/>
      <c r="E428" s="49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571"/>
    </row>
    <row r="429" spans="2:17">
      <c r="B429" s="49"/>
      <c r="C429" s="49"/>
      <c r="D429" s="49"/>
      <c r="E429" s="49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571"/>
    </row>
    <row r="430" spans="2:17">
      <c r="B430" s="49"/>
      <c r="C430" s="49"/>
      <c r="D430" s="49"/>
      <c r="E430" s="49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571"/>
    </row>
    <row r="431" spans="2:17">
      <c r="B431" s="49"/>
      <c r="C431" s="49"/>
      <c r="D431" s="49"/>
      <c r="E431" s="49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571"/>
    </row>
    <row r="432" spans="2:17">
      <c r="B432" s="49"/>
      <c r="C432" s="49"/>
      <c r="D432" s="49"/>
      <c r="E432" s="49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571"/>
    </row>
    <row r="433" spans="2:17">
      <c r="B433" s="49"/>
      <c r="C433" s="49"/>
      <c r="D433" s="49"/>
      <c r="E433" s="49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571"/>
    </row>
    <row r="434" spans="2:17">
      <c r="B434" s="49"/>
      <c r="C434" s="49"/>
      <c r="D434" s="49"/>
      <c r="E434" s="49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571"/>
    </row>
    <row r="435" spans="2:17">
      <c r="B435" s="49"/>
      <c r="C435" s="49"/>
      <c r="D435" s="49"/>
      <c r="E435" s="49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571"/>
    </row>
    <row r="436" spans="2:17">
      <c r="B436" s="49"/>
      <c r="C436" s="49"/>
      <c r="D436" s="49"/>
      <c r="E436" s="49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571"/>
    </row>
    <row r="437" spans="2:17">
      <c r="B437" s="49"/>
      <c r="C437" s="49"/>
      <c r="D437" s="49"/>
      <c r="E437" s="49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571"/>
    </row>
    <row r="438" spans="2:17">
      <c r="B438" s="49"/>
      <c r="C438" s="49"/>
      <c r="D438" s="49"/>
      <c r="E438" s="49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571"/>
    </row>
    <row r="439" spans="2:17">
      <c r="B439" s="49"/>
      <c r="C439" s="49"/>
      <c r="D439" s="49"/>
      <c r="E439" s="49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571"/>
    </row>
    <row r="440" spans="2:17">
      <c r="B440" s="49"/>
      <c r="C440" s="49"/>
      <c r="D440" s="49"/>
      <c r="E440" s="49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571"/>
    </row>
    <row r="441" spans="2:17">
      <c r="B441" s="49"/>
      <c r="C441" s="49"/>
      <c r="D441" s="49"/>
      <c r="E441" s="49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571"/>
    </row>
    <row r="442" spans="2:17">
      <c r="B442" s="49"/>
      <c r="C442" s="49"/>
      <c r="D442" s="49"/>
      <c r="E442" s="49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571"/>
    </row>
    <row r="443" spans="2:17">
      <c r="B443" s="49"/>
      <c r="C443" s="49"/>
      <c r="D443" s="49"/>
      <c r="E443" s="49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571"/>
    </row>
    <row r="444" spans="2:17">
      <c r="B444" s="49"/>
      <c r="C444" s="49"/>
      <c r="D444" s="49"/>
      <c r="E444" s="49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571"/>
    </row>
    <row r="445" spans="2:17">
      <c r="B445" s="49"/>
      <c r="C445" s="49"/>
      <c r="D445" s="49"/>
      <c r="E445" s="49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571"/>
    </row>
    <row r="446" spans="2:17">
      <c r="B446" s="49"/>
      <c r="C446" s="49"/>
      <c r="D446" s="49"/>
      <c r="E446" s="49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571"/>
    </row>
    <row r="447" spans="2:17">
      <c r="B447" s="49"/>
      <c r="C447" s="49"/>
      <c r="D447" s="49"/>
      <c r="E447" s="49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571"/>
    </row>
    <row r="448" spans="2:17">
      <c r="B448" s="49"/>
      <c r="C448" s="49"/>
      <c r="D448" s="49"/>
      <c r="E448" s="49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571"/>
    </row>
    <row r="449" spans="2:17">
      <c r="B449" s="49"/>
      <c r="C449" s="49"/>
      <c r="D449" s="49"/>
      <c r="E449" s="49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571"/>
    </row>
    <row r="450" spans="2:17">
      <c r="B450" s="49"/>
      <c r="C450" s="49"/>
      <c r="D450" s="49"/>
      <c r="E450" s="49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571"/>
    </row>
    <row r="451" spans="2:17">
      <c r="B451" s="49"/>
      <c r="C451" s="49"/>
      <c r="D451" s="49"/>
      <c r="E451" s="49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571"/>
    </row>
    <row r="452" spans="2:17">
      <c r="B452" s="49"/>
      <c r="C452" s="49"/>
      <c r="D452" s="49"/>
      <c r="E452" s="49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571"/>
    </row>
    <row r="453" spans="2:17">
      <c r="B453" s="49"/>
      <c r="C453" s="49"/>
      <c r="D453" s="49"/>
      <c r="E453" s="49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571"/>
    </row>
    <row r="454" spans="2:17">
      <c r="B454" s="49"/>
      <c r="C454" s="49"/>
      <c r="D454" s="49"/>
      <c r="E454" s="49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571"/>
    </row>
    <row r="455" spans="2:17">
      <c r="B455" s="49"/>
      <c r="C455" s="49"/>
      <c r="D455" s="49"/>
      <c r="E455" s="49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571"/>
    </row>
    <row r="456" spans="2:17">
      <c r="B456" s="49"/>
      <c r="C456" s="49"/>
      <c r="D456" s="49"/>
      <c r="E456" s="49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571"/>
    </row>
    <row r="457" spans="2:17">
      <c r="B457" s="49"/>
      <c r="C457" s="49"/>
      <c r="D457" s="49"/>
      <c r="E457" s="49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571"/>
    </row>
    <row r="458" spans="2:17">
      <c r="B458" s="49"/>
      <c r="C458" s="49"/>
      <c r="D458" s="49"/>
      <c r="E458" s="49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571"/>
    </row>
    <row r="459" spans="2:17">
      <c r="B459" s="49"/>
      <c r="C459" s="49"/>
      <c r="D459" s="49"/>
      <c r="E459" s="49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571"/>
    </row>
    <row r="460" spans="2:17">
      <c r="B460" s="49"/>
      <c r="C460" s="49"/>
      <c r="D460" s="49"/>
      <c r="E460" s="49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571"/>
    </row>
    <row r="461" spans="2:17">
      <c r="B461" s="49"/>
      <c r="C461" s="49"/>
      <c r="D461" s="49"/>
      <c r="E461" s="49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571"/>
    </row>
    <row r="462" spans="2:17">
      <c r="B462" s="49"/>
      <c r="C462" s="49"/>
      <c r="D462" s="49"/>
      <c r="E462" s="49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571"/>
    </row>
    <row r="463" spans="2:17">
      <c r="B463" s="49"/>
      <c r="C463" s="49"/>
      <c r="D463" s="49"/>
      <c r="E463" s="49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571"/>
    </row>
    <row r="464" spans="2:17">
      <c r="B464" s="49"/>
      <c r="C464" s="49"/>
      <c r="D464" s="49"/>
      <c r="E464" s="49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571"/>
    </row>
    <row r="465" spans="2:17">
      <c r="B465" s="49"/>
      <c r="C465" s="49"/>
      <c r="D465" s="49"/>
      <c r="E465" s="49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571"/>
    </row>
    <row r="466" spans="2:17">
      <c r="B466" s="49"/>
      <c r="C466" s="49"/>
      <c r="D466" s="49"/>
      <c r="E466" s="49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571"/>
    </row>
    <row r="467" spans="2:17">
      <c r="B467" s="49"/>
      <c r="C467" s="49"/>
      <c r="D467" s="49"/>
      <c r="E467" s="49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571"/>
    </row>
    <row r="468" spans="2:17">
      <c r="B468" s="49"/>
      <c r="C468" s="49"/>
      <c r="D468" s="49"/>
      <c r="E468" s="49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571"/>
    </row>
    <row r="469" spans="2:17">
      <c r="B469" s="49"/>
      <c r="C469" s="49"/>
      <c r="D469" s="49"/>
      <c r="E469" s="49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571"/>
    </row>
    <row r="470" spans="2:17">
      <c r="B470" s="49"/>
      <c r="C470" s="49"/>
      <c r="D470" s="49"/>
      <c r="E470" s="49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571"/>
    </row>
    <row r="471" spans="2:17">
      <c r="B471" s="49"/>
      <c r="C471" s="49"/>
      <c r="D471" s="49"/>
      <c r="E471" s="49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571"/>
    </row>
    <row r="472" spans="2:17">
      <c r="B472" s="49"/>
      <c r="C472" s="49"/>
      <c r="D472" s="49"/>
      <c r="E472" s="49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571"/>
    </row>
    <row r="473" spans="2:17">
      <c r="B473" s="49"/>
      <c r="C473" s="49"/>
      <c r="D473" s="49"/>
      <c r="E473" s="49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571"/>
    </row>
    <row r="474" spans="2:17">
      <c r="B474" s="49"/>
      <c r="C474" s="49"/>
      <c r="D474" s="49"/>
      <c r="E474" s="49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571"/>
    </row>
    <row r="475" spans="2:17">
      <c r="B475" s="49"/>
      <c r="C475" s="49"/>
      <c r="D475" s="49"/>
      <c r="E475" s="49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571"/>
    </row>
    <row r="476" spans="2:17">
      <c r="B476" s="49"/>
      <c r="C476" s="49"/>
      <c r="D476" s="49"/>
      <c r="E476" s="49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571"/>
    </row>
    <row r="477" spans="2:17">
      <c r="B477" s="49"/>
      <c r="C477" s="49"/>
      <c r="D477" s="49"/>
      <c r="E477" s="49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571"/>
    </row>
    <row r="478" spans="2:17">
      <c r="B478" s="49"/>
      <c r="C478" s="49"/>
      <c r="D478" s="49"/>
      <c r="E478" s="49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571"/>
    </row>
    <row r="479" spans="2:17">
      <c r="B479" s="49"/>
      <c r="C479" s="49"/>
      <c r="D479" s="49"/>
      <c r="E479" s="49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571"/>
    </row>
    <row r="480" spans="2:17">
      <c r="B480" s="49"/>
      <c r="C480" s="49"/>
      <c r="D480" s="49"/>
      <c r="E480" s="49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571"/>
    </row>
    <row r="481" spans="2:17">
      <c r="B481" s="49"/>
      <c r="C481" s="49"/>
      <c r="D481" s="49"/>
      <c r="E481" s="49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571"/>
    </row>
    <row r="482" spans="2:17">
      <c r="B482" s="49"/>
      <c r="C482" s="49"/>
      <c r="D482" s="49"/>
      <c r="E482" s="49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571"/>
    </row>
    <row r="483" spans="2:17">
      <c r="B483" s="49"/>
      <c r="C483" s="49"/>
      <c r="D483" s="49"/>
      <c r="E483" s="49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571"/>
    </row>
    <row r="484" spans="2:17">
      <c r="B484" s="49"/>
      <c r="C484" s="49"/>
      <c r="D484" s="49"/>
      <c r="E484" s="49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571"/>
    </row>
    <row r="485" spans="2:17">
      <c r="B485" s="49"/>
      <c r="C485" s="49"/>
      <c r="D485" s="49"/>
      <c r="E485" s="49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571"/>
    </row>
    <row r="486" spans="2:17">
      <c r="B486" s="49"/>
      <c r="C486" s="49"/>
      <c r="D486" s="49"/>
      <c r="E486" s="49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571"/>
    </row>
    <row r="487" spans="2:17">
      <c r="B487" s="49"/>
      <c r="C487" s="49"/>
      <c r="D487" s="49"/>
      <c r="E487" s="49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571"/>
    </row>
    <row r="488" spans="2:17">
      <c r="B488" s="49"/>
      <c r="C488" s="49"/>
      <c r="D488" s="49"/>
      <c r="E488" s="49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571"/>
    </row>
    <row r="489" spans="2:17">
      <c r="B489" s="49"/>
      <c r="C489" s="49"/>
      <c r="D489" s="49"/>
      <c r="E489" s="49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571"/>
    </row>
    <row r="490" spans="2:17">
      <c r="B490" s="49"/>
      <c r="C490" s="49"/>
      <c r="D490" s="49"/>
      <c r="E490" s="49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571"/>
    </row>
    <row r="491" spans="2:17">
      <c r="B491" s="49"/>
      <c r="C491" s="49"/>
      <c r="D491" s="49"/>
      <c r="E491" s="49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571"/>
    </row>
    <row r="492" spans="2:17">
      <c r="B492" s="49"/>
      <c r="C492" s="49"/>
      <c r="D492" s="49"/>
      <c r="E492" s="49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571"/>
    </row>
    <row r="493" spans="2:17">
      <c r="B493" s="49"/>
      <c r="C493" s="49"/>
      <c r="D493" s="49"/>
      <c r="E493" s="49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571"/>
    </row>
    <row r="494" spans="2:17">
      <c r="B494" s="49"/>
      <c r="C494" s="49"/>
      <c r="D494" s="49"/>
      <c r="E494" s="49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571"/>
    </row>
    <row r="495" spans="2:17">
      <c r="B495" s="49"/>
      <c r="C495" s="49"/>
      <c r="D495" s="49"/>
      <c r="E495" s="49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571"/>
    </row>
    <row r="496" spans="2:17">
      <c r="B496" s="49"/>
      <c r="C496" s="49"/>
      <c r="D496" s="49"/>
      <c r="E496" s="49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571"/>
    </row>
    <row r="497" spans="2:17">
      <c r="B497" s="49"/>
      <c r="C497" s="49"/>
      <c r="D497" s="49"/>
      <c r="E497" s="49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571"/>
    </row>
    <row r="498" spans="2:17">
      <c r="B498" s="49"/>
      <c r="C498" s="49"/>
      <c r="D498" s="49"/>
      <c r="E498" s="49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571"/>
    </row>
    <row r="499" spans="2:17">
      <c r="B499" s="49"/>
      <c r="C499" s="49"/>
      <c r="D499" s="49"/>
      <c r="E499" s="49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571"/>
    </row>
    <row r="500" spans="2:17">
      <c r="B500" s="49"/>
      <c r="C500" s="49"/>
      <c r="D500" s="49"/>
      <c r="E500" s="49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571"/>
    </row>
    <row r="501" spans="2:17">
      <c r="B501" s="49"/>
      <c r="C501" s="49"/>
      <c r="D501" s="49"/>
      <c r="E501" s="49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571"/>
    </row>
    <row r="502" spans="2:17">
      <c r="B502" s="49"/>
      <c r="C502" s="49"/>
      <c r="D502" s="49"/>
      <c r="E502" s="49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571"/>
    </row>
    <row r="503" spans="2:17">
      <c r="B503" s="49"/>
      <c r="C503" s="49"/>
      <c r="D503" s="49"/>
      <c r="E503" s="49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571"/>
    </row>
    <row r="504" spans="2:17">
      <c r="B504" s="49"/>
      <c r="C504" s="49"/>
      <c r="D504" s="49"/>
      <c r="E504" s="49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571"/>
    </row>
    <row r="505" spans="2:17">
      <c r="B505" s="49"/>
      <c r="C505" s="49"/>
      <c r="D505" s="49"/>
      <c r="E505" s="49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571"/>
    </row>
    <row r="506" spans="2:17">
      <c r="B506" s="49"/>
      <c r="C506" s="49"/>
      <c r="D506" s="49"/>
      <c r="E506" s="49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571"/>
    </row>
    <row r="507" spans="2:17">
      <c r="B507" s="49"/>
      <c r="C507" s="49"/>
      <c r="D507" s="49"/>
      <c r="E507" s="49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571"/>
    </row>
    <row r="508" spans="2:17">
      <c r="B508" s="49"/>
      <c r="C508" s="49"/>
      <c r="D508" s="49"/>
      <c r="E508" s="49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571"/>
    </row>
    <row r="509" spans="2:17">
      <c r="B509" s="49"/>
      <c r="C509" s="49"/>
      <c r="D509" s="49"/>
      <c r="E509" s="49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571"/>
    </row>
    <row r="510" spans="2:17">
      <c r="B510" s="49"/>
      <c r="C510" s="49"/>
      <c r="D510" s="49"/>
      <c r="E510" s="49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571"/>
    </row>
    <row r="511" spans="2:17">
      <c r="B511" s="49"/>
      <c r="C511" s="49"/>
      <c r="D511" s="49"/>
      <c r="E511" s="49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571"/>
    </row>
    <row r="512" spans="2:17">
      <c r="B512" s="49"/>
      <c r="C512" s="49"/>
      <c r="D512" s="49"/>
      <c r="E512" s="49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571"/>
    </row>
    <row r="513" spans="2:17">
      <c r="B513" s="49"/>
      <c r="C513" s="49"/>
      <c r="D513" s="49"/>
      <c r="E513" s="49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571"/>
    </row>
    <row r="514" spans="2:17">
      <c r="B514" s="49"/>
      <c r="C514" s="49"/>
      <c r="D514" s="49"/>
      <c r="E514" s="49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571"/>
    </row>
    <row r="515" spans="2:17">
      <c r="B515" s="49"/>
      <c r="C515" s="49"/>
      <c r="D515" s="49"/>
      <c r="E515" s="49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571"/>
    </row>
    <row r="516" spans="2:17">
      <c r="B516" s="49"/>
      <c r="C516" s="49"/>
      <c r="D516" s="49"/>
      <c r="E516" s="49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571"/>
    </row>
    <row r="517" spans="2:17">
      <c r="B517" s="49"/>
      <c r="C517" s="49"/>
      <c r="D517" s="49"/>
      <c r="E517" s="49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571"/>
    </row>
    <row r="518" spans="2:17">
      <c r="B518" s="49"/>
      <c r="C518" s="49"/>
      <c r="D518" s="49"/>
      <c r="E518" s="49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571"/>
    </row>
    <row r="519" spans="2:17">
      <c r="B519" s="49"/>
      <c r="C519" s="49"/>
      <c r="D519" s="49"/>
      <c r="E519" s="49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571"/>
    </row>
    <row r="520" spans="2:17">
      <c r="B520" s="49"/>
      <c r="C520" s="49"/>
      <c r="D520" s="49"/>
      <c r="E520" s="49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571"/>
    </row>
    <row r="521" spans="2:17">
      <c r="B521" s="49"/>
      <c r="C521" s="49"/>
      <c r="D521" s="49"/>
      <c r="E521" s="49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571"/>
    </row>
    <row r="522" spans="2:17">
      <c r="B522" s="49"/>
      <c r="C522" s="49"/>
      <c r="D522" s="49"/>
      <c r="E522" s="49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571"/>
    </row>
    <row r="523" spans="2:17">
      <c r="B523" s="49"/>
      <c r="C523" s="49"/>
      <c r="D523" s="49"/>
      <c r="E523" s="49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571"/>
    </row>
    <row r="524" spans="2:17">
      <c r="B524" s="49"/>
      <c r="C524" s="49"/>
      <c r="D524" s="49"/>
      <c r="E524" s="49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571"/>
    </row>
    <row r="525" spans="2:17">
      <c r="B525" s="49"/>
      <c r="C525" s="49"/>
      <c r="D525" s="49"/>
      <c r="E525" s="49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571"/>
    </row>
    <row r="526" spans="2:17">
      <c r="B526" s="49"/>
      <c r="C526" s="49"/>
      <c r="D526" s="49"/>
      <c r="E526" s="49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571"/>
    </row>
    <row r="527" spans="2:17">
      <c r="B527" s="49"/>
      <c r="C527" s="49"/>
      <c r="D527" s="49"/>
      <c r="E527" s="49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571"/>
    </row>
    <row r="528" spans="2:17">
      <c r="B528" s="49"/>
      <c r="C528" s="49"/>
      <c r="D528" s="49"/>
      <c r="E528" s="49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571"/>
    </row>
    <row r="529" spans="2:17">
      <c r="B529" s="49"/>
      <c r="C529" s="49"/>
      <c r="D529" s="49"/>
      <c r="E529" s="49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571"/>
    </row>
    <row r="530" spans="2:17">
      <c r="B530" s="49"/>
      <c r="C530" s="49"/>
      <c r="D530" s="49"/>
      <c r="E530" s="49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571"/>
    </row>
    <row r="531" spans="2:17">
      <c r="B531" s="49"/>
      <c r="C531" s="49"/>
      <c r="D531" s="49"/>
      <c r="E531" s="49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571"/>
    </row>
    <row r="532" spans="2:17">
      <c r="B532" s="49"/>
      <c r="C532" s="49"/>
      <c r="D532" s="49"/>
      <c r="E532" s="49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571"/>
    </row>
    <row r="533" spans="2:17">
      <c r="B533" s="49"/>
      <c r="C533" s="49"/>
      <c r="D533" s="49"/>
      <c r="E533" s="49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571"/>
    </row>
    <row r="534" spans="2:17">
      <c r="B534" s="49"/>
      <c r="C534" s="49"/>
      <c r="D534" s="49"/>
      <c r="E534" s="49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571"/>
    </row>
    <row r="535" spans="2:17">
      <c r="B535" s="49"/>
      <c r="C535" s="49"/>
      <c r="D535" s="49"/>
      <c r="E535" s="49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571"/>
    </row>
    <row r="536" spans="2:17">
      <c r="B536" s="49"/>
      <c r="C536" s="49"/>
      <c r="D536" s="49"/>
      <c r="E536" s="49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571"/>
    </row>
    <row r="537" spans="2:17">
      <c r="B537" s="49"/>
      <c r="C537" s="49"/>
      <c r="D537" s="49"/>
      <c r="E537" s="49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571"/>
    </row>
    <row r="538" spans="2:17">
      <c r="B538" s="49"/>
      <c r="C538" s="49"/>
      <c r="D538" s="49"/>
      <c r="E538" s="49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571"/>
    </row>
    <row r="539" spans="2:17">
      <c r="B539" s="49"/>
      <c r="C539" s="49"/>
      <c r="D539" s="49"/>
      <c r="E539" s="49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571"/>
    </row>
    <row r="540" spans="2:17">
      <c r="B540" s="49"/>
      <c r="C540" s="49"/>
      <c r="D540" s="49"/>
      <c r="E540" s="49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571"/>
    </row>
    <row r="541" spans="2:17">
      <c r="B541" s="49"/>
      <c r="C541" s="49"/>
      <c r="D541" s="49"/>
      <c r="E541" s="49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571"/>
    </row>
    <row r="542" spans="2:17">
      <c r="B542" s="49"/>
      <c r="C542" s="49"/>
      <c r="D542" s="49"/>
      <c r="E542" s="49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571"/>
    </row>
    <row r="543" spans="2:17">
      <c r="B543" s="49"/>
      <c r="C543" s="49"/>
      <c r="D543" s="49"/>
      <c r="E543" s="49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571"/>
    </row>
    <row r="544" spans="2:17">
      <c r="B544" s="49"/>
      <c r="C544" s="49"/>
      <c r="D544" s="49"/>
      <c r="E544" s="49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571"/>
    </row>
    <row r="545" spans="2:17">
      <c r="B545" s="49"/>
      <c r="C545" s="49"/>
      <c r="D545" s="49"/>
      <c r="E545" s="49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571"/>
    </row>
    <row r="546" spans="2:17">
      <c r="B546" s="49"/>
      <c r="C546" s="49"/>
      <c r="D546" s="49"/>
      <c r="E546" s="49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571"/>
    </row>
    <row r="547" spans="2:17">
      <c r="B547" s="49"/>
      <c r="C547" s="49"/>
      <c r="D547" s="49"/>
      <c r="E547" s="49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571"/>
    </row>
    <row r="548" spans="2:17">
      <c r="B548" s="49"/>
      <c r="C548" s="49"/>
      <c r="D548" s="49"/>
      <c r="E548" s="49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571"/>
    </row>
    <row r="549" spans="2:17">
      <c r="B549" s="49"/>
      <c r="C549" s="49"/>
      <c r="D549" s="49"/>
      <c r="E549" s="49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571"/>
    </row>
    <row r="550" spans="2:17">
      <c r="B550" s="49"/>
      <c r="C550" s="49"/>
      <c r="D550" s="49"/>
      <c r="E550" s="49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571"/>
    </row>
    <row r="551" spans="2:17">
      <c r="B551" s="49"/>
      <c r="C551" s="49"/>
      <c r="D551" s="49"/>
      <c r="E551" s="49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571"/>
    </row>
    <row r="552" spans="2:17">
      <c r="B552" s="49"/>
      <c r="C552" s="49"/>
      <c r="D552" s="49"/>
      <c r="E552" s="49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571"/>
    </row>
    <row r="553" spans="2:17">
      <c r="B553" s="49"/>
      <c r="C553" s="49"/>
      <c r="D553" s="49"/>
      <c r="E553" s="49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571"/>
    </row>
    <row r="554" spans="2:17">
      <c r="B554" s="49"/>
      <c r="C554" s="49"/>
      <c r="D554" s="49"/>
      <c r="E554" s="49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571"/>
    </row>
    <row r="555" spans="2:17">
      <c r="B555" s="49"/>
      <c r="C555" s="49"/>
      <c r="D555" s="49"/>
      <c r="E555" s="49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571"/>
    </row>
    <row r="556" spans="2:17">
      <c r="B556" s="49"/>
      <c r="C556" s="49"/>
      <c r="D556" s="49"/>
      <c r="E556" s="49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571"/>
    </row>
    <row r="557" spans="2:17">
      <c r="B557" s="49"/>
      <c r="C557" s="49"/>
      <c r="D557" s="49"/>
      <c r="E557" s="49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571"/>
    </row>
    <row r="558" spans="2:17">
      <c r="B558" s="49"/>
      <c r="C558" s="49"/>
      <c r="D558" s="49"/>
      <c r="E558" s="49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571"/>
    </row>
    <row r="559" spans="2:17">
      <c r="B559" s="49"/>
      <c r="C559" s="49"/>
      <c r="D559" s="49"/>
      <c r="E559" s="49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571"/>
    </row>
    <row r="560" spans="2:17">
      <c r="B560" s="49"/>
      <c r="C560" s="49"/>
      <c r="D560" s="49"/>
      <c r="E560" s="49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571"/>
    </row>
    <row r="561" spans="2:17">
      <c r="B561" s="49"/>
      <c r="C561" s="49"/>
      <c r="D561" s="49"/>
      <c r="E561" s="49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571"/>
    </row>
    <row r="562" spans="2:17">
      <c r="B562" s="49"/>
      <c r="C562" s="49"/>
      <c r="D562" s="49"/>
      <c r="E562" s="49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571"/>
    </row>
    <row r="563" spans="2:17">
      <c r="B563" s="49"/>
      <c r="C563" s="49"/>
      <c r="D563" s="49"/>
      <c r="E563" s="49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571"/>
    </row>
    <row r="564" spans="2:17">
      <c r="B564" s="49"/>
      <c r="C564" s="49"/>
      <c r="D564" s="49"/>
      <c r="E564" s="49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571"/>
    </row>
    <row r="565" spans="2:17">
      <c r="B565" s="49"/>
      <c r="C565" s="49"/>
      <c r="D565" s="49"/>
      <c r="E565" s="49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571"/>
    </row>
    <row r="566" spans="2:17">
      <c r="B566" s="49"/>
      <c r="C566" s="49"/>
      <c r="D566" s="49"/>
      <c r="E566" s="49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571"/>
    </row>
    <row r="567" spans="2:17">
      <c r="B567" s="49"/>
      <c r="C567" s="49"/>
      <c r="D567" s="49"/>
      <c r="E567" s="49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571"/>
    </row>
    <row r="568" spans="2:17">
      <c r="B568" s="49"/>
      <c r="C568" s="49"/>
      <c r="D568" s="49"/>
      <c r="E568" s="49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571"/>
    </row>
    <row r="569" spans="2:17">
      <c r="B569" s="49"/>
      <c r="C569" s="49"/>
      <c r="D569" s="49"/>
      <c r="E569" s="49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571"/>
    </row>
    <row r="570" spans="2:17">
      <c r="B570" s="49"/>
      <c r="C570" s="49"/>
      <c r="D570" s="49"/>
      <c r="E570" s="49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571"/>
    </row>
    <row r="571" spans="2:17">
      <c r="B571" s="49"/>
      <c r="C571" s="49"/>
      <c r="D571" s="49"/>
      <c r="E571" s="49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571"/>
    </row>
    <row r="572" spans="2:17">
      <c r="B572" s="49"/>
      <c r="C572" s="49"/>
      <c r="D572" s="49"/>
      <c r="E572" s="49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571"/>
    </row>
    <row r="573" spans="2:17">
      <c r="B573" s="49"/>
      <c r="C573" s="49"/>
      <c r="D573" s="49"/>
      <c r="E573" s="49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571"/>
    </row>
    <row r="574" spans="2:17">
      <c r="B574" s="49"/>
      <c r="C574" s="49"/>
      <c r="D574" s="49"/>
      <c r="E574" s="49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571"/>
    </row>
    <row r="575" spans="2:17">
      <c r="B575" s="49"/>
      <c r="C575" s="49"/>
      <c r="D575" s="49"/>
      <c r="E575" s="49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571"/>
    </row>
    <row r="576" spans="2:17">
      <c r="B576" s="49"/>
      <c r="C576" s="49"/>
      <c r="D576" s="49"/>
      <c r="E576" s="49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571"/>
    </row>
    <row r="577" spans="2:17">
      <c r="B577" s="49"/>
      <c r="C577" s="49"/>
      <c r="D577" s="49"/>
      <c r="E577" s="49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571"/>
    </row>
    <row r="578" spans="2:17">
      <c r="B578" s="49"/>
      <c r="C578" s="49"/>
      <c r="D578" s="49"/>
      <c r="E578" s="49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571"/>
    </row>
    <row r="579" spans="2:17">
      <c r="B579" s="49"/>
      <c r="C579" s="49"/>
      <c r="D579" s="49"/>
      <c r="E579" s="49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571"/>
    </row>
    <row r="580" spans="2:17">
      <c r="B580" s="49"/>
      <c r="C580" s="49"/>
      <c r="D580" s="49"/>
      <c r="E580" s="49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571"/>
    </row>
    <row r="581" spans="2:17">
      <c r="B581" s="49"/>
      <c r="C581" s="49"/>
      <c r="D581" s="49"/>
      <c r="E581" s="49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571"/>
    </row>
    <row r="582" spans="2:17">
      <c r="B582" s="49"/>
      <c r="C582" s="49"/>
      <c r="D582" s="49"/>
      <c r="E582" s="49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571"/>
    </row>
    <row r="583" spans="2:17">
      <c r="B583" s="49"/>
      <c r="C583" s="49"/>
      <c r="D583" s="49"/>
      <c r="E583" s="49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571"/>
    </row>
    <row r="584" spans="2:17">
      <c r="B584" s="49"/>
      <c r="C584" s="49"/>
      <c r="D584" s="49"/>
      <c r="E584" s="49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571"/>
    </row>
    <row r="585" spans="2:17">
      <c r="B585" s="49"/>
      <c r="C585" s="49"/>
      <c r="D585" s="49"/>
      <c r="E585" s="49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571"/>
    </row>
    <row r="586" spans="2:17">
      <c r="B586" s="49"/>
      <c r="C586" s="49"/>
      <c r="D586" s="49"/>
      <c r="E586" s="49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571"/>
    </row>
    <row r="587" spans="2:17">
      <c r="B587" s="49"/>
      <c r="C587" s="49"/>
      <c r="D587" s="49"/>
      <c r="E587" s="49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571"/>
    </row>
    <row r="588" spans="2:17">
      <c r="B588" s="49"/>
      <c r="C588" s="49"/>
      <c r="D588" s="49"/>
      <c r="E588" s="49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571"/>
    </row>
    <row r="589" spans="2:17">
      <c r="B589" s="49"/>
      <c r="C589" s="49"/>
      <c r="D589" s="49"/>
      <c r="E589" s="49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571"/>
    </row>
    <row r="590" spans="2:17">
      <c r="B590" s="49"/>
      <c r="C590" s="49"/>
      <c r="D590" s="49"/>
      <c r="E590" s="49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571"/>
    </row>
    <row r="591" spans="2:17">
      <c r="B591" s="49"/>
      <c r="C591" s="49"/>
      <c r="D591" s="49"/>
      <c r="E591" s="49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571"/>
    </row>
    <row r="592" spans="2:17">
      <c r="B592" s="49"/>
      <c r="C592" s="49"/>
      <c r="D592" s="49"/>
      <c r="E592" s="49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571"/>
    </row>
    <row r="593" spans="2:17">
      <c r="B593" s="49"/>
      <c r="C593" s="49"/>
      <c r="D593" s="49"/>
      <c r="E593" s="49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571"/>
    </row>
    <row r="594" spans="2:17">
      <c r="B594" s="49"/>
      <c r="C594" s="49"/>
      <c r="D594" s="49"/>
      <c r="E594" s="49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571"/>
    </row>
    <row r="595" spans="2:17">
      <c r="B595" s="49"/>
      <c r="C595" s="49"/>
      <c r="D595" s="49"/>
      <c r="E595" s="49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571"/>
    </row>
    <row r="596" spans="2:17">
      <c r="B596" s="49"/>
      <c r="C596" s="49"/>
      <c r="D596" s="49"/>
      <c r="E596" s="49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571"/>
    </row>
    <row r="597" spans="2:17">
      <c r="B597" s="49"/>
      <c r="C597" s="49"/>
      <c r="D597" s="49"/>
      <c r="E597" s="49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571"/>
    </row>
    <row r="598" spans="2:17">
      <c r="B598" s="49"/>
      <c r="C598" s="49"/>
      <c r="D598" s="49"/>
      <c r="E598" s="49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571"/>
    </row>
    <row r="599" spans="2:17">
      <c r="B599" s="49"/>
      <c r="C599" s="49"/>
      <c r="D599" s="49"/>
      <c r="E599" s="49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571"/>
    </row>
    <row r="600" spans="2:17">
      <c r="B600" s="49"/>
      <c r="C600" s="49"/>
      <c r="D600" s="49"/>
      <c r="E600" s="49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571"/>
    </row>
    <row r="601" spans="2:17">
      <c r="B601" s="49"/>
      <c r="C601" s="49"/>
      <c r="D601" s="49"/>
      <c r="E601" s="49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571"/>
    </row>
    <row r="602" spans="2:17">
      <c r="B602" s="49"/>
      <c r="C602" s="49"/>
      <c r="D602" s="49"/>
      <c r="E602" s="49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571"/>
    </row>
    <row r="603" spans="2:17">
      <c r="B603" s="49"/>
      <c r="C603" s="49"/>
      <c r="D603" s="49"/>
      <c r="E603" s="49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571"/>
    </row>
    <row r="604" spans="2:17">
      <c r="B604" s="49"/>
      <c r="C604" s="49"/>
      <c r="D604" s="49"/>
      <c r="E604" s="49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571"/>
    </row>
    <row r="605" spans="2:17">
      <c r="B605" s="49"/>
      <c r="C605" s="49"/>
      <c r="D605" s="49"/>
      <c r="E605" s="49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571"/>
    </row>
    <row r="606" spans="2:17">
      <c r="B606" s="49"/>
      <c r="C606" s="49"/>
      <c r="D606" s="49"/>
      <c r="E606" s="49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571"/>
    </row>
    <row r="607" spans="2:17">
      <c r="B607" s="49"/>
      <c r="C607" s="49"/>
      <c r="D607" s="49"/>
      <c r="E607" s="49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571"/>
    </row>
    <row r="608" spans="2:17">
      <c r="B608" s="49"/>
      <c r="C608" s="49"/>
      <c r="D608" s="49"/>
      <c r="E608" s="49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571"/>
    </row>
    <row r="609" spans="2:17">
      <c r="B609" s="49"/>
      <c r="C609" s="49"/>
      <c r="D609" s="49"/>
      <c r="E609" s="49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571"/>
    </row>
    <row r="610" spans="2:17">
      <c r="B610" s="49"/>
      <c r="C610" s="49"/>
      <c r="D610" s="49"/>
      <c r="E610" s="49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571"/>
    </row>
    <row r="611" spans="2:17">
      <c r="B611" s="49"/>
      <c r="C611" s="49"/>
      <c r="D611" s="49"/>
      <c r="E611" s="49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571"/>
    </row>
    <row r="612" spans="2:17">
      <c r="B612" s="49"/>
      <c r="C612" s="49"/>
      <c r="D612" s="49"/>
      <c r="E612" s="49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571"/>
    </row>
    <row r="613" spans="2:17">
      <c r="B613" s="49"/>
      <c r="C613" s="49"/>
      <c r="D613" s="49"/>
      <c r="E613" s="49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571"/>
    </row>
    <row r="614" spans="2:17">
      <c r="B614" s="49"/>
      <c r="C614" s="49"/>
      <c r="D614" s="49"/>
      <c r="E614" s="49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571"/>
    </row>
    <row r="615" spans="2:17">
      <c r="B615" s="49"/>
      <c r="C615" s="49"/>
      <c r="D615" s="49"/>
      <c r="E615" s="49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571"/>
    </row>
    <row r="616" spans="2:17">
      <c r="B616" s="49"/>
      <c r="C616" s="49"/>
      <c r="D616" s="49"/>
      <c r="E616" s="49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571"/>
    </row>
    <row r="617" spans="2:17">
      <c r="B617" s="49"/>
      <c r="C617" s="49"/>
      <c r="D617" s="49"/>
      <c r="E617" s="49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571"/>
    </row>
    <row r="618" spans="2:17">
      <c r="B618" s="49"/>
      <c r="C618" s="49"/>
      <c r="D618" s="49"/>
      <c r="E618" s="49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571"/>
    </row>
    <row r="619" spans="2:17">
      <c r="B619" s="49"/>
      <c r="C619" s="49"/>
      <c r="D619" s="49"/>
      <c r="E619" s="49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571"/>
    </row>
    <row r="620" spans="2:17">
      <c r="B620" s="49"/>
      <c r="C620" s="49"/>
      <c r="D620" s="49"/>
      <c r="E620" s="49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571"/>
    </row>
    <row r="621" spans="2:17">
      <c r="B621" s="49"/>
      <c r="C621" s="49"/>
      <c r="D621" s="49"/>
      <c r="E621" s="49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571"/>
    </row>
    <row r="622" spans="2:17">
      <c r="B622" s="49"/>
      <c r="C622" s="49"/>
      <c r="D622" s="49"/>
      <c r="E622" s="49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571"/>
    </row>
    <row r="623" spans="2:17">
      <c r="B623" s="49"/>
      <c r="C623" s="49"/>
      <c r="D623" s="49"/>
      <c r="E623" s="49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571"/>
    </row>
    <row r="624" spans="2:17">
      <c r="B624" s="49"/>
      <c r="C624" s="49"/>
      <c r="D624" s="49"/>
      <c r="E624" s="49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571"/>
    </row>
    <row r="625" spans="2:17">
      <c r="B625" s="49"/>
      <c r="C625" s="49"/>
      <c r="D625" s="49"/>
      <c r="E625" s="49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571"/>
    </row>
    <row r="626" spans="2:17">
      <c r="B626" s="49"/>
      <c r="C626" s="49"/>
      <c r="D626" s="49"/>
      <c r="E626" s="49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571"/>
    </row>
    <row r="627" spans="2:17">
      <c r="B627" s="49"/>
      <c r="C627" s="49"/>
      <c r="D627" s="49"/>
      <c r="E627" s="49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571"/>
    </row>
    <row r="628" spans="2:17">
      <c r="B628" s="49"/>
      <c r="C628" s="49"/>
      <c r="D628" s="49"/>
      <c r="E628" s="49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571"/>
    </row>
    <row r="629" spans="2:17">
      <c r="B629" s="49"/>
      <c r="C629" s="49"/>
      <c r="D629" s="49"/>
      <c r="E629" s="49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571"/>
    </row>
    <row r="630" spans="2:17">
      <c r="B630" s="49"/>
      <c r="C630" s="49"/>
      <c r="D630" s="49"/>
      <c r="E630" s="49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571"/>
    </row>
    <row r="631" spans="2:17">
      <c r="B631" s="49"/>
      <c r="C631" s="49"/>
      <c r="D631" s="49"/>
      <c r="E631" s="49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571"/>
    </row>
    <row r="632" spans="2:17">
      <c r="B632" s="49"/>
      <c r="C632" s="49"/>
      <c r="D632" s="49"/>
      <c r="E632" s="49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571"/>
    </row>
    <row r="633" spans="2:17">
      <c r="B633" s="49"/>
      <c r="C633" s="49"/>
      <c r="D633" s="49"/>
      <c r="E633" s="49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571"/>
    </row>
    <row r="634" spans="2:17">
      <c r="B634" s="49"/>
      <c r="C634" s="49"/>
      <c r="D634" s="49"/>
      <c r="E634" s="49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571"/>
    </row>
    <row r="635" spans="2:17">
      <c r="B635" s="49"/>
      <c r="C635" s="49"/>
      <c r="D635" s="49"/>
      <c r="E635" s="49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571"/>
    </row>
    <row r="636" spans="2:17">
      <c r="B636" s="49"/>
      <c r="C636" s="49"/>
      <c r="D636" s="49"/>
      <c r="E636" s="49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571"/>
    </row>
    <row r="637" spans="2:17">
      <c r="B637" s="49"/>
      <c r="C637" s="49"/>
      <c r="D637" s="49"/>
      <c r="E637" s="49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571"/>
    </row>
    <row r="638" spans="2:17">
      <c r="B638" s="49"/>
      <c r="C638" s="49"/>
      <c r="D638" s="49"/>
      <c r="E638" s="49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571"/>
    </row>
    <row r="639" spans="2:17">
      <c r="B639" s="49"/>
      <c r="C639" s="49"/>
      <c r="D639" s="49"/>
      <c r="E639" s="49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571"/>
    </row>
    <row r="640" spans="2:17">
      <c r="B640" s="49"/>
      <c r="C640" s="49"/>
      <c r="D640" s="49"/>
      <c r="E640" s="49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571"/>
    </row>
    <row r="641" spans="2:17">
      <c r="B641" s="49"/>
      <c r="C641" s="49"/>
      <c r="D641" s="49"/>
      <c r="E641" s="49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571"/>
    </row>
    <row r="642" spans="2:17">
      <c r="B642" s="49"/>
      <c r="C642" s="49"/>
      <c r="D642" s="49"/>
      <c r="E642" s="49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571"/>
    </row>
    <row r="643" spans="2:17">
      <c r="B643" s="49"/>
      <c r="C643" s="49"/>
      <c r="D643" s="49"/>
      <c r="E643" s="49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571"/>
    </row>
    <row r="644" spans="2:17">
      <c r="B644" s="49"/>
      <c r="C644" s="49"/>
      <c r="D644" s="49"/>
      <c r="E644" s="49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571"/>
    </row>
    <row r="645" spans="2:17">
      <c r="B645" s="49"/>
      <c r="C645" s="49"/>
      <c r="D645" s="49"/>
      <c r="E645" s="49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571"/>
    </row>
    <row r="646" spans="2:17">
      <c r="B646" s="49"/>
      <c r="C646" s="49"/>
      <c r="D646" s="49"/>
      <c r="E646" s="49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571"/>
    </row>
    <row r="647" spans="2:17">
      <c r="B647" s="49"/>
      <c r="C647" s="49"/>
      <c r="D647" s="49"/>
      <c r="E647" s="49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571"/>
    </row>
    <row r="648" spans="2:17">
      <c r="B648" s="49"/>
      <c r="C648" s="49"/>
      <c r="D648" s="49"/>
      <c r="E648" s="49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571"/>
    </row>
    <row r="649" spans="2:17">
      <c r="B649" s="49"/>
      <c r="C649" s="49"/>
      <c r="D649" s="49"/>
      <c r="E649" s="49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571"/>
    </row>
    <row r="650" spans="2:17">
      <c r="B650" s="49"/>
      <c r="C650" s="49"/>
      <c r="D650" s="49"/>
      <c r="E650" s="49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571"/>
    </row>
    <row r="651" spans="2:17">
      <c r="B651" s="49"/>
      <c r="C651" s="49"/>
      <c r="D651" s="49"/>
      <c r="E651" s="49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571"/>
    </row>
    <row r="652" spans="2:17">
      <c r="B652" s="49"/>
      <c r="C652" s="49"/>
      <c r="D652" s="49"/>
      <c r="E652" s="49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571"/>
    </row>
    <row r="653" spans="2:17">
      <c r="B653" s="49"/>
      <c r="C653" s="49"/>
      <c r="D653" s="49"/>
      <c r="E653" s="49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571"/>
    </row>
    <row r="654" spans="2:17">
      <c r="B654" s="49"/>
      <c r="C654" s="49"/>
      <c r="D654" s="49"/>
      <c r="E654" s="49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571"/>
    </row>
    <row r="655" spans="2:17">
      <c r="B655" s="49"/>
      <c r="C655" s="49"/>
      <c r="D655" s="49"/>
      <c r="E655" s="49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571"/>
    </row>
    <row r="656" spans="2:17">
      <c r="B656" s="49"/>
      <c r="C656" s="49"/>
      <c r="D656" s="49"/>
      <c r="E656" s="49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571"/>
    </row>
    <row r="657" spans="2:17">
      <c r="B657" s="49"/>
      <c r="C657" s="49"/>
      <c r="D657" s="49"/>
      <c r="E657" s="49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571"/>
    </row>
    <row r="658" spans="2:17">
      <c r="B658" s="49"/>
      <c r="C658" s="49"/>
      <c r="D658" s="49"/>
      <c r="E658" s="49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571"/>
    </row>
    <row r="659" spans="2:17">
      <c r="B659" s="49"/>
      <c r="C659" s="49"/>
      <c r="D659" s="49"/>
      <c r="E659" s="49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571"/>
    </row>
    <row r="660" spans="2:17">
      <c r="B660" s="49"/>
      <c r="C660" s="49"/>
      <c r="D660" s="49"/>
      <c r="E660" s="49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571"/>
    </row>
    <row r="661" spans="2:17">
      <c r="B661" s="49"/>
      <c r="C661" s="49"/>
      <c r="D661" s="49"/>
      <c r="E661" s="49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571"/>
    </row>
    <row r="662" spans="2:17">
      <c r="B662" s="49"/>
      <c r="C662" s="49"/>
      <c r="D662" s="49"/>
      <c r="E662" s="49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571"/>
    </row>
    <row r="663" spans="2:17">
      <c r="B663" s="49"/>
      <c r="C663" s="49"/>
      <c r="D663" s="49"/>
      <c r="E663" s="49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571"/>
    </row>
    <row r="664" spans="2:17">
      <c r="B664" s="49"/>
      <c r="C664" s="49"/>
      <c r="D664" s="49"/>
      <c r="E664" s="49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571"/>
    </row>
    <row r="665" spans="2:17">
      <c r="B665" s="49"/>
      <c r="C665" s="49"/>
      <c r="D665" s="49"/>
      <c r="E665" s="49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571"/>
    </row>
    <row r="666" spans="2:17">
      <c r="B666" s="49"/>
      <c r="C666" s="49"/>
      <c r="D666" s="49"/>
      <c r="E666" s="49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571"/>
    </row>
    <row r="667" spans="2:17">
      <c r="B667" s="49"/>
      <c r="C667" s="49"/>
      <c r="D667" s="49"/>
      <c r="E667" s="49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571"/>
    </row>
    <row r="668" spans="2:17">
      <c r="B668" s="49"/>
      <c r="C668" s="49"/>
      <c r="D668" s="49"/>
      <c r="E668" s="49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571"/>
    </row>
    <row r="669" spans="2:17">
      <c r="B669" s="49"/>
      <c r="C669" s="49"/>
      <c r="D669" s="49"/>
      <c r="E669" s="49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571"/>
    </row>
    <row r="670" spans="2:17">
      <c r="B670" s="49"/>
      <c r="C670" s="49"/>
      <c r="D670" s="49"/>
      <c r="E670" s="49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571"/>
    </row>
    <row r="671" spans="2:17">
      <c r="B671" s="49"/>
      <c r="C671" s="49"/>
      <c r="D671" s="49"/>
      <c r="E671" s="49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571"/>
    </row>
    <row r="672" spans="2:17">
      <c r="B672" s="49"/>
      <c r="C672" s="49"/>
      <c r="D672" s="49"/>
      <c r="E672" s="49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571"/>
    </row>
    <row r="673" spans="2:17">
      <c r="B673" s="49"/>
      <c r="C673" s="49"/>
      <c r="D673" s="49"/>
      <c r="E673" s="49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571"/>
    </row>
    <row r="674" spans="2:17">
      <c r="B674" s="49"/>
      <c r="C674" s="49"/>
      <c r="D674" s="49"/>
      <c r="E674" s="49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571"/>
    </row>
    <row r="675" spans="2:17">
      <c r="B675" s="49"/>
      <c r="C675" s="49"/>
      <c r="D675" s="49"/>
      <c r="E675" s="49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571"/>
    </row>
    <row r="676" spans="2:17">
      <c r="B676" s="49"/>
      <c r="C676" s="49"/>
      <c r="D676" s="49"/>
      <c r="E676" s="49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571"/>
    </row>
    <row r="677" spans="2:17">
      <c r="B677" s="49"/>
      <c r="C677" s="49"/>
      <c r="D677" s="49"/>
      <c r="E677" s="49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571"/>
    </row>
    <row r="678" spans="2:17">
      <c r="B678" s="49"/>
      <c r="C678" s="49"/>
      <c r="D678" s="49"/>
      <c r="E678" s="49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571"/>
    </row>
    <row r="679" spans="2:17">
      <c r="B679" s="49"/>
      <c r="C679" s="49"/>
      <c r="D679" s="49"/>
      <c r="E679" s="49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571"/>
    </row>
    <row r="680" spans="2:17">
      <c r="B680" s="49"/>
      <c r="C680" s="49"/>
      <c r="D680" s="49"/>
      <c r="E680" s="49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571"/>
    </row>
    <row r="681" spans="2:17">
      <c r="B681" s="49"/>
      <c r="C681" s="49"/>
      <c r="D681" s="49"/>
      <c r="E681" s="49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571"/>
    </row>
    <row r="682" spans="2:17">
      <c r="B682" s="49"/>
      <c r="C682" s="49"/>
      <c r="D682" s="49"/>
      <c r="E682" s="49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571"/>
    </row>
    <row r="683" spans="2:17">
      <c r="B683" s="49"/>
      <c r="C683" s="49"/>
      <c r="D683" s="49"/>
      <c r="E683" s="49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571"/>
    </row>
    <row r="684" spans="2:17">
      <c r="B684" s="49"/>
      <c r="C684" s="49"/>
      <c r="D684" s="49"/>
      <c r="E684" s="49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571"/>
    </row>
    <row r="685" spans="2:17">
      <c r="B685" s="49"/>
      <c r="C685" s="49"/>
      <c r="D685" s="49"/>
      <c r="E685" s="49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571"/>
    </row>
    <row r="686" spans="2:17">
      <c r="B686" s="49"/>
      <c r="C686" s="49"/>
      <c r="D686" s="49"/>
      <c r="E686" s="49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571"/>
    </row>
    <row r="687" spans="2:17">
      <c r="B687" s="49"/>
      <c r="C687" s="49"/>
      <c r="D687" s="49"/>
      <c r="E687" s="49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571"/>
    </row>
    <row r="688" spans="2:17">
      <c r="B688" s="49"/>
      <c r="C688" s="49"/>
      <c r="D688" s="49"/>
      <c r="E688" s="49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571"/>
    </row>
    <row r="689" spans="2:17">
      <c r="B689" s="49"/>
      <c r="C689" s="49"/>
      <c r="D689" s="49"/>
      <c r="E689" s="49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571"/>
    </row>
    <row r="690" spans="2:17">
      <c r="B690" s="49"/>
      <c r="C690" s="49"/>
      <c r="D690" s="49"/>
      <c r="E690" s="49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571"/>
    </row>
    <row r="691" spans="2:17">
      <c r="B691" s="49"/>
      <c r="C691" s="49"/>
      <c r="D691" s="49"/>
      <c r="E691" s="49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571"/>
    </row>
    <row r="692" spans="2:17">
      <c r="B692" s="49"/>
      <c r="C692" s="49"/>
      <c r="D692" s="49"/>
      <c r="E692" s="49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571"/>
    </row>
    <row r="693" spans="2:17">
      <c r="B693" s="49"/>
      <c r="C693" s="49"/>
      <c r="D693" s="49"/>
      <c r="E693" s="49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571"/>
    </row>
    <row r="694" spans="2:17">
      <c r="B694" s="49"/>
      <c r="C694" s="49"/>
      <c r="D694" s="49"/>
      <c r="E694" s="49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571"/>
    </row>
    <row r="695" spans="2:17">
      <c r="B695" s="49"/>
      <c r="C695" s="49"/>
      <c r="D695" s="49"/>
      <c r="E695" s="49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571"/>
    </row>
    <row r="696" spans="2:17">
      <c r="B696" s="49"/>
      <c r="C696" s="49"/>
      <c r="D696" s="49"/>
      <c r="E696" s="49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571"/>
    </row>
    <row r="697" spans="2:17">
      <c r="B697" s="49"/>
      <c r="C697" s="49"/>
      <c r="D697" s="49"/>
      <c r="E697" s="49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571"/>
    </row>
    <row r="698" spans="2:17">
      <c r="B698" s="49"/>
      <c r="C698" s="49"/>
      <c r="D698" s="49"/>
      <c r="E698" s="49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571"/>
    </row>
    <row r="699" spans="2:17">
      <c r="B699" s="49"/>
      <c r="C699" s="49"/>
      <c r="D699" s="49"/>
      <c r="E699" s="49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571"/>
    </row>
    <row r="700" spans="2:17">
      <c r="B700" s="49"/>
      <c r="C700" s="49"/>
      <c r="D700" s="49"/>
      <c r="E700" s="49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571"/>
    </row>
    <row r="701" spans="2:17">
      <c r="B701" s="49"/>
      <c r="C701" s="49"/>
      <c r="D701" s="49"/>
      <c r="E701" s="49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571"/>
    </row>
    <row r="702" spans="2:17">
      <c r="B702" s="49"/>
      <c r="C702" s="49"/>
      <c r="D702" s="49"/>
      <c r="E702" s="49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571"/>
    </row>
    <row r="703" spans="2:17">
      <c r="B703" s="49"/>
      <c r="C703" s="49"/>
      <c r="D703" s="49"/>
      <c r="E703" s="49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571"/>
    </row>
    <row r="704" spans="2:17">
      <c r="B704" s="49"/>
      <c r="C704" s="49"/>
      <c r="D704" s="49"/>
      <c r="E704" s="49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571"/>
    </row>
    <row r="705" spans="2:17">
      <c r="B705" s="49"/>
      <c r="C705" s="49"/>
      <c r="D705" s="49"/>
      <c r="E705" s="49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571"/>
    </row>
    <row r="706" spans="2:17">
      <c r="B706" s="49"/>
      <c r="C706" s="49"/>
      <c r="D706" s="49"/>
      <c r="E706" s="49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571"/>
    </row>
    <row r="707" spans="2:17">
      <c r="B707" s="49"/>
      <c r="C707" s="49"/>
      <c r="D707" s="49"/>
      <c r="E707" s="49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571"/>
    </row>
    <row r="708" spans="2:17">
      <c r="B708" s="49"/>
      <c r="C708" s="49"/>
      <c r="D708" s="49"/>
      <c r="E708" s="49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571"/>
    </row>
    <row r="709" spans="2:17">
      <c r="B709" s="49"/>
      <c r="C709" s="49"/>
      <c r="D709" s="49"/>
      <c r="E709" s="49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571"/>
    </row>
    <row r="710" spans="2:17">
      <c r="B710" s="49"/>
      <c r="C710" s="49"/>
      <c r="D710" s="49"/>
      <c r="E710" s="49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571"/>
    </row>
    <row r="711" spans="2:17">
      <c r="B711" s="49"/>
      <c r="C711" s="49"/>
      <c r="D711" s="49"/>
      <c r="E711" s="49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571"/>
    </row>
    <row r="712" spans="2:17">
      <c r="B712" s="49"/>
      <c r="C712" s="49"/>
      <c r="D712" s="49"/>
      <c r="E712" s="49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571"/>
    </row>
    <row r="713" spans="2:17">
      <c r="B713" s="49"/>
      <c r="C713" s="49"/>
      <c r="D713" s="49"/>
      <c r="E713" s="49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571"/>
    </row>
    <row r="714" spans="2:17">
      <c r="B714" s="49"/>
      <c r="C714" s="49"/>
      <c r="D714" s="49"/>
      <c r="E714" s="49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571"/>
    </row>
    <row r="715" spans="2:17">
      <c r="B715" s="49"/>
      <c r="C715" s="49"/>
      <c r="D715" s="49"/>
      <c r="E715" s="49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571"/>
    </row>
    <row r="716" spans="2:17">
      <c r="B716" s="49"/>
      <c r="C716" s="49"/>
      <c r="D716" s="49"/>
      <c r="E716" s="49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571"/>
    </row>
    <row r="717" spans="2:17">
      <c r="B717" s="49"/>
      <c r="C717" s="49"/>
      <c r="D717" s="49"/>
      <c r="E717" s="49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571"/>
    </row>
    <row r="718" spans="2:17">
      <c r="B718" s="49"/>
      <c r="C718" s="49"/>
      <c r="D718" s="49"/>
      <c r="E718" s="49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571"/>
    </row>
    <row r="719" spans="2:17">
      <c r="B719" s="49"/>
      <c r="C719" s="49"/>
      <c r="D719" s="49"/>
      <c r="E719" s="49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571"/>
    </row>
    <row r="720" spans="2:17">
      <c r="B720" s="49"/>
      <c r="C720" s="49"/>
      <c r="D720" s="49"/>
      <c r="E720" s="49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571"/>
    </row>
    <row r="721" spans="2:17">
      <c r="B721" s="49"/>
      <c r="C721" s="49"/>
      <c r="D721" s="49"/>
      <c r="E721" s="49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571"/>
    </row>
    <row r="722" spans="2:17">
      <c r="B722" s="49"/>
      <c r="C722" s="49"/>
      <c r="D722" s="49"/>
      <c r="E722" s="49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571"/>
    </row>
    <row r="723" spans="2:17">
      <c r="B723" s="49"/>
      <c r="C723" s="49"/>
      <c r="D723" s="49"/>
      <c r="E723" s="49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571"/>
    </row>
    <row r="724" spans="2:17">
      <c r="B724" s="49"/>
      <c r="C724" s="49"/>
      <c r="D724" s="49"/>
      <c r="E724" s="49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571"/>
    </row>
    <row r="725" spans="2:17">
      <c r="B725" s="49"/>
      <c r="C725" s="49"/>
      <c r="D725" s="49"/>
      <c r="E725" s="49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571"/>
    </row>
    <row r="726" spans="2:17">
      <c r="B726" s="49"/>
      <c r="C726" s="49"/>
      <c r="D726" s="49"/>
      <c r="E726" s="49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571"/>
    </row>
    <row r="727" spans="2:17">
      <c r="B727" s="49"/>
      <c r="C727" s="49"/>
      <c r="D727" s="49"/>
      <c r="E727" s="49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571"/>
    </row>
    <row r="728" spans="2:17">
      <c r="B728" s="49"/>
      <c r="C728" s="49"/>
      <c r="D728" s="49"/>
      <c r="E728" s="49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571"/>
    </row>
    <row r="729" spans="2:17">
      <c r="B729" s="49"/>
      <c r="C729" s="49"/>
      <c r="D729" s="49"/>
      <c r="E729" s="49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571"/>
    </row>
    <row r="730" spans="2:17">
      <c r="B730" s="49"/>
      <c r="C730" s="49"/>
      <c r="D730" s="49"/>
      <c r="E730" s="49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571"/>
    </row>
    <row r="731" spans="2:17">
      <c r="B731" s="49"/>
      <c r="C731" s="49"/>
      <c r="D731" s="49"/>
      <c r="E731" s="49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571"/>
    </row>
    <row r="732" spans="2:17">
      <c r="B732" s="49"/>
      <c r="C732" s="49"/>
      <c r="D732" s="49"/>
      <c r="E732" s="49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571"/>
    </row>
    <row r="733" spans="2:17">
      <c r="B733" s="49"/>
      <c r="C733" s="49"/>
      <c r="D733" s="49"/>
      <c r="E733" s="49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571"/>
    </row>
    <row r="734" spans="2:17">
      <c r="B734" s="49"/>
      <c r="C734" s="49"/>
      <c r="D734" s="49"/>
      <c r="E734" s="49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571"/>
    </row>
    <row r="735" spans="2:17">
      <c r="B735" s="49"/>
      <c r="C735" s="49"/>
      <c r="D735" s="49"/>
      <c r="E735" s="49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571"/>
    </row>
    <row r="736" spans="2:17">
      <c r="B736" s="49"/>
      <c r="C736" s="49"/>
      <c r="D736" s="49"/>
      <c r="E736" s="49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571"/>
    </row>
    <row r="737" spans="2:17">
      <c r="B737" s="49"/>
      <c r="C737" s="49"/>
      <c r="D737" s="49"/>
      <c r="E737" s="49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571"/>
    </row>
    <row r="738" spans="2:17">
      <c r="B738" s="49"/>
      <c r="C738" s="49"/>
      <c r="D738" s="49"/>
      <c r="E738" s="49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571"/>
    </row>
    <row r="739" spans="2:17">
      <c r="B739" s="49"/>
      <c r="C739" s="49"/>
      <c r="D739" s="49"/>
      <c r="E739" s="49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571"/>
    </row>
    <row r="740" spans="2:17">
      <c r="B740" s="49"/>
      <c r="C740" s="49"/>
      <c r="D740" s="49"/>
      <c r="E740" s="49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571"/>
    </row>
    <row r="741" spans="2:17">
      <c r="B741" s="49"/>
      <c r="C741" s="49"/>
      <c r="D741" s="49"/>
      <c r="E741" s="49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571"/>
    </row>
    <row r="742" spans="2:17">
      <c r="B742" s="49"/>
      <c r="C742" s="49"/>
      <c r="D742" s="49"/>
      <c r="E742" s="49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571"/>
    </row>
    <row r="743" spans="2:17">
      <c r="B743" s="49"/>
      <c r="C743" s="49"/>
      <c r="D743" s="49"/>
      <c r="E743" s="49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571"/>
    </row>
    <row r="744" spans="2:17">
      <c r="B744" s="49"/>
      <c r="C744" s="49"/>
      <c r="D744" s="49"/>
      <c r="E744" s="49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571"/>
    </row>
    <row r="745" spans="2:17">
      <c r="B745" s="49"/>
      <c r="C745" s="49"/>
      <c r="D745" s="49"/>
      <c r="E745" s="49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571"/>
    </row>
    <row r="746" spans="2:17">
      <c r="M746" s="51"/>
      <c r="N746" s="30"/>
      <c r="O746" s="30"/>
      <c r="P746" s="30"/>
      <c r="Q746" s="571"/>
    </row>
    <row r="747" spans="2:17">
      <c r="N747" s="30"/>
      <c r="O747" s="30"/>
      <c r="P747" s="30"/>
      <c r="Q747" s="571"/>
    </row>
    <row r="748" spans="2:17">
      <c r="N748" s="30"/>
      <c r="O748" s="30"/>
      <c r="P748" s="30"/>
      <c r="Q748" s="571"/>
    </row>
    <row r="749" spans="2:17">
      <c r="N749" s="30"/>
      <c r="O749" s="30"/>
      <c r="P749" s="30"/>
      <c r="Q749" s="571"/>
    </row>
    <row r="750" spans="2:17">
      <c r="N750" s="30"/>
      <c r="O750" s="30"/>
      <c r="P750" s="30"/>
      <c r="Q750" s="571"/>
    </row>
    <row r="751" spans="2:17">
      <c r="N751" s="30"/>
      <c r="O751" s="30"/>
      <c r="P751" s="30"/>
      <c r="Q751" s="571"/>
    </row>
    <row r="752" spans="2:17">
      <c r="N752" s="30"/>
      <c r="O752" s="30"/>
      <c r="P752" s="30"/>
      <c r="Q752" s="571"/>
    </row>
    <row r="753" spans="14:17">
      <c r="N753" s="30"/>
      <c r="O753" s="30"/>
      <c r="P753" s="30"/>
      <c r="Q753" s="571"/>
    </row>
    <row r="754" spans="14:17">
      <c r="N754" s="30"/>
      <c r="O754" s="30"/>
      <c r="P754" s="30"/>
      <c r="Q754" s="571"/>
    </row>
    <row r="755" spans="14:17">
      <c r="N755" s="30"/>
      <c r="O755" s="30"/>
      <c r="P755" s="30"/>
      <c r="Q755" s="571"/>
    </row>
    <row r="756" spans="14:17">
      <c r="N756" s="30"/>
      <c r="O756" s="30"/>
      <c r="P756" s="30"/>
      <c r="Q756" s="571"/>
    </row>
    <row r="757" spans="14:17">
      <c r="N757" s="30"/>
      <c r="O757" s="30"/>
      <c r="P757" s="30"/>
      <c r="Q757" s="571"/>
    </row>
    <row r="758" spans="14:17">
      <c r="N758" s="30"/>
      <c r="O758" s="30"/>
      <c r="P758" s="30"/>
      <c r="Q758" s="571"/>
    </row>
    <row r="759" spans="14:17">
      <c r="N759" s="30"/>
      <c r="O759" s="30"/>
      <c r="P759" s="30"/>
      <c r="Q759" s="571"/>
    </row>
    <row r="760" spans="14:17">
      <c r="N760" s="30"/>
      <c r="O760" s="30"/>
      <c r="P760" s="30"/>
      <c r="Q760" s="571"/>
    </row>
    <row r="761" spans="14:17">
      <c r="N761" s="30"/>
      <c r="O761" s="30"/>
      <c r="P761" s="30"/>
      <c r="Q761" s="571"/>
    </row>
    <row r="762" spans="14:17">
      <c r="N762" s="30"/>
      <c r="O762" s="30"/>
      <c r="P762" s="30"/>
      <c r="Q762" s="571"/>
    </row>
    <row r="763" spans="14:17">
      <c r="N763" s="30"/>
      <c r="O763" s="30"/>
      <c r="P763" s="30"/>
      <c r="Q763" s="571"/>
    </row>
    <row r="764" spans="14:17">
      <c r="N764" s="30"/>
      <c r="O764" s="30"/>
      <c r="P764" s="30"/>
      <c r="Q764" s="571"/>
    </row>
    <row r="765" spans="14:17">
      <c r="N765" s="30"/>
      <c r="O765" s="30"/>
      <c r="P765" s="30"/>
      <c r="Q765" s="571"/>
    </row>
    <row r="766" spans="14:17">
      <c r="N766" s="30"/>
      <c r="O766" s="30"/>
      <c r="P766" s="30"/>
      <c r="Q766" s="571"/>
    </row>
    <row r="767" spans="14:17">
      <c r="N767" s="30"/>
      <c r="O767" s="30"/>
      <c r="P767" s="30"/>
      <c r="Q767" s="571"/>
    </row>
    <row r="768" spans="14:17">
      <c r="N768" s="30"/>
      <c r="O768" s="30"/>
      <c r="P768" s="30"/>
      <c r="Q768" s="571"/>
    </row>
    <row r="769" spans="14:17">
      <c r="N769" s="30"/>
      <c r="O769" s="30"/>
      <c r="P769" s="30"/>
      <c r="Q769" s="571"/>
    </row>
    <row r="770" spans="14:17">
      <c r="N770" s="30"/>
      <c r="O770" s="30"/>
      <c r="P770" s="30"/>
      <c r="Q770" s="571"/>
    </row>
    <row r="771" spans="14:17">
      <c r="N771" s="30"/>
      <c r="O771" s="30"/>
      <c r="P771" s="30"/>
      <c r="Q771" s="571"/>
    </row>
    <row r="772" spans="14:17">
      <c r="N772" s="30"/>
      <c r="O772" s="30"/>
      <c r="P772" s="30"/>
      <c r="Q772" s="571"/>
    </row>
    <row r="773" spans="14:17">
      <c r="N773" s="30"/>
      <c r="O773" s="30"/>
      <c r="P773" s="30"/>
      <c r="Q773" s="571"/>
    </row>
    <row r="774" spans="14:17">
      <c r="N774" s="30"/>
      <c r="O774" s="30"/>
      <c r="P774" s="30"/>
      <c r="Q774" s="571"/>
    </row>
    <row r="775" spans="14:17">
      <c r="N775" s="30"/>
      <c r="O775" s="30"/>
      <c r="P775" s="30"/>
      <c r="Q775" s="571"/>
    </row>
    <row r="776" spans="14:17">
      <c r="N776" s="30"/>
      <c r="O776" s="30"/>
      <c r="P776" s="30"/>
      <c r="Q776" s="571"/>
    </row>
    <row r="777" spans="14:17">
      <c r="N777" s="30"/>
      <c r="O777" s="30"/>
      <c r="P777" s="30"/>
      <c r="Q777" s="571"/>
    </row>
    <row r="778" spans="14:17">
      <c r="N778" s="30"/>
      <c r="O778" s="30"/>
      <c r="P778" s="30"/>
      <c r="Q778" s="571"/>
    </row>
    <row r="779" spans="14:17">
      <c r="N779" s="30"/>
      <c r="O779" s="30"/>
      <c r="P779" s="30"/>
      <c r="Q779" s="571"/>
    </row>
    <row r="780" spans="14:17">
      <c r="N780" s="30"/>
      <c r="O780" s="30"/>
      <c r="P780" s="30"/>
      <c r="Q780" s="571"/>
    </row>
    <row r="781" spans="14:17">
      <c r="N781" s="30"/>
      <c r="O781" s="30"/>
      <c r="P781" s="30"/>
      <c r="Q781" s="571"/>
    </row>
    <row r="782" spans="14:17">
      <c r="N782" s="30"/>
      <c r="O782" s="30"/>
      <c r="P782" s="30"/>
      <c r="Q782" s="571"/>
    </row>
    <row r="783" spans="14:17">
      <c r="N783" s="30"/>
      <c r="O783" s="30"/>
      <c r="P783" s="30"/>
      <c r="Q783" s="571"/>
    </row>
    <row r="784" spans="14:17">
      <c r="N784" s="30"/>
      <c r="O784" s="30"/>
      <c r="P784" s="30"/>
      <c r="Q784" s="571"/>
    </row>
    <row r="785" spans="14:17">
      <c r="N785" s="30"/>
      <c r="O785" s="30"/>
      <c r="P785" s="30"/>
      <c r="Q785" s="571"/>
    </row>
    <row r="786" spans="14:17">
      <c r="N786" s="30"/>
      <c r="O786" s="30"/>
      <c r="P786" s="30"/>
      <c r="Q786" s="571"/>
    </row>
    <row r="787" spans="14:17">
      <c r="N787" s="30"/>
      <c r="O787" s="30"/>
      <c r="P787" s="30"/>
      <c r="Q787" s="571"/>
    </row>
    <row r="788" spans="14:17">
      <c r="N788" s="30"/>
      <c r="O788" s="30"/>
      <c r="P788" s="30"/>
      <c r="Q788" s="571"/>
    </row>
    <row r="789" spans="14:17">
      <c r="N789" s="30"/>
      <c r="O789" s="30"/>
      <c r="P789" s="30"/>
      <c r="Q789" s="571"/>
    </row>
    <row r="790" spans="14:17">
      <c r="N790" s="30"/>
      <c r="O790" s="30"/>
      <c r="P790" s="30"/>
      <c r="Q790" s="571"/>
    </row>
    <row r="791" spans="14:17">
      <c r="N791" s="30"/>
      <c r="O791" s="30"/>
      <c r="P791" s="30"/>
      <c r="Q791" s="571"/>
    </row>
    <row r="792" spans="14:17">
      <c r="N792" s="30"/>
      <c r="O792" s="30"/>
      <c r="P792" s="30"/>
      <c r="Q792" s="571"/>
    </row>
    <row r="793" spans="14:17">
      <c r="N793" s="30"/>
      <c r="O793" s="30"/>
      <c r="P793" s="30"/>
      <c r="Q793" s="571"/>
    </row>
    <row r="794" spans="14:17">
      <c r="N794" s="30"/>
      <c r="O794" s="30"/>
      <c r="P794" s="30"/>
      <c r="Q794" s="571"/>
    </row>
    <row r="795" spans="14:17">
      <c r="N795" s="30"/>
      <c r="O795" s="30"/>
      <c r="P795" s="30"/>
      <c r="Q795" s="571"/>
    </row>
    <row r="796" spans="14:17">
      <c r="N796" s="30"/>
      <c r="O796" s="30"/>
      <c r="P796" s="30"/>
      <c r="Q796" s="571"/>
    </row>
    <row r="797" spans="14:17">
      <c r="N797" s="30"/>
      <c r="O797" s="30"/>
      <c r="P797" s="30"/>
      <c r="Q797" s="571"/>
    </row>
    <row r="798" spans="14:17">
      <c r="N798" s="30"/>
      <c r="O798" s="30"/>
      <c r="P798" s="30"/>
      <c r="Q798" s="571"/>
    </row>
    <row r="799" spans="14:17">
      <c r="N799" s="30"/>
      <c r="O799" s="30"/>
      <c r="P799" s="30"/>
      <c r="Q799" s="571"/>
    </row>
    <row r="800" spans="14:17">
      <c r="N800" s="30"/>
      <c r="O800" s="30"/>
      <c r="P800" s="30"/>
      <c r="Q800" s="571"/>
    </row>
    <row r="801" spans="14:17">
      <c r="N801" s="30"/>
      <c r="O801" s="30"/>
      <c r="P801" s="30"/>
      <c r="Q801" s="571"/>
    </row>
    <row r="802" spans="14:17">
      <c r="N802" s="30"/>
      <c r="O802" s="30"/>
      <c r="P802" s="30"/>
      <c r="Q802" s="571"/>
    </row>
    <row r="803" spans="14:17">
      <c r="N803" s="30"/>
      <c r="O803" s="30"/>
      <c r="P803" s="30"/>
      <c r="Q803" s="571"/>
    </row>
    <row r="804" spans="14:17">
      <c r="N804" s="30"/>
      <c r="O804" s="30"/>
      <c r="P804" s="30"/>
      <c r="Q804" s="571"/>
    </row>
    <row r="805" spans="14:17">
      <c r="N805" s="30"/>
      <c r="O805" s="30"/>
      <c r="P805" s="30"/>
      <c r="Q805" s="571"/>
    </row>
    <row r="806" spans="14:17">
      <c r="N806" s="30"/>
      <c r="O806" s="30"/>
      <c r="P806" s="30"/>
      <c r="Q806" s="571"/>
    </row>
    <row r="807" spans="14:17">
      <c r="N807" s="30"/>
      <c r="O807" s="30"/>
      <c r="P807" s="30"/>
      <c r="Q807" s="571"/>
    </row>
    <row r="808" spans="14:17">
      <c r="N808" s="30"/>
      <c r="O808" s="30"/>
      <c r="P808" s="30"/>
      <c r="Q808" s="571"/>
    </row>
    <row r="809" spans="14:17">
      <c r="N809" s="30"/>
      <c r="O809" s="30"/>
      <c r="P809" s="30"/>
      <c r="Q809" s="571"/>
    </row>
    <row r="810" spans="14:17">
      <c r="N810" s="30"/>
      <c r="O810" s="30"/>
      <c r="P810" s="30"/>
      <c r="Q810" s="571"/>
    </row>
    <row r="811" spans="14:17">
      <c r="N811" s="30"/>
      <c r="O811" s="30"/>
      <c r="P811" s="30"/>
      <c r="Q811" s="571"/>
    </row>
    <row r="812" spans="14:17">
      <c r="N812" s="30"/>
      <c r="O812" s="30"/>
      <c r="P812" s="30"/>
      <c r="Q812" s="571"/>
    </row>
    <row r="813" spans="14:17">
      <c r="N813" s="30"/>
      <c r="O813" s="30"/>
      <c r="P813" s="30"/>
      <c r="Q813" s="571"/>
    </row>
    <row r="814" spans="14:17">
      <c r="N814" s="30"/>
      <c r="O814" s="30"/>
      <c r="P814" s="30"/>
      <c r="Q814" s="571"/>
    </row>
    <row r="815" spans="14:17">
      <c r="N815" s="30"/>
      <c r="O815" s="30"/>
      <c r="P815" s="30"/>
      <c r="Q815" s="571"/>
    </row>
    <row r="816" spans="14:17">
      <c r="N816" s="30"/>
      <c r="O816" s="30"/>
      <c r="P816" s="30"/>
      <c r="Q816" s="571"/>
    </row>
    <row r="817" spans="14:17">
      <c r="N817" s="30"/>
      <c r="O817" s="30"/>
      <c r="P817" s="30"/>
      <c r="Q817" s="571"/>
    </row>
    <row r="818" spans="14:17">
      <c r="N818" s="30"/>
      <c r="O818" s="30"/>
      <c r="P818" s="30"/>
      <c r="Q818" s="571"/>
    </row>
    <row r="819" spans="14:17">
      <c r="N819" s="30"/>
      <c r="O819" s="30"/>
      <c r="P819" s="30"/>
      <c r="Q819" s="571"/>
    </row>
    <row r="820" spans="14:17">
      <c r="N820" s="30"/>
      <c r="O820" s="30"/>
      <c r="P820" s="30"/>
      <c r="Q820" s="571"/>
    </row>
    <row r="821" spans="14:17">
      <c r="N821" s="30"/>
      <c r="O821" s="30"/>
      <c r="P821" s="30"/>
      <c r="Q821" s="571"/>
    </row>
    <row r="822" spans="14:17">
      <c r="N822" s="30"/>
      <c r="O822" s="30"/>
      <c r="P822" s="30"/>
      <c r="Q822" s="571"/>
    </row>
    <row r="823" spans="14:17">
      <c r="N823" s="30"/>
      <c r="O823" s="30"/>
      <c r="P823" s="30"/>
      <c r="Q823" s="571"/>
    </row>
    <row r="824" spans="14:17">
      <c r="N824" s="30"/>
      <c r="O824" s="30"/>
      <c r="P824" s="30"/>
      <c r="Q824" s="571"/>
    </row>
    <row r="825" spans="14:17">
      <c r="N825" s="30"/>
      <c r="O825" s="30"/>
      <c r="P825" s="30"/>
      <c r="Q825" s="571"/>
    </row>
    <row r="826" spans="14:17">
      <c r="N826" s="30"/>
      <c r="O826" s="30"/>
      <c r="P826" s="30"/>
      <c r="Q826" s="571"/>
    </row>
    <row r="827" spans="14:17">
      <c r="N827" s="30"/>
      <c r="O827" s="30"/>
      <c r="P827" s="30"/>
      <c r="Q827" s="571"/>
    </row>
    <row r="828" spans="14:17">
      <c r="N828" s="30"/>
      <c r="O828" s="30"/>
      <c r="P828" s="30"/>
      <c r="Q828" s="571"/>
    </row>
    <row r="829" spans="14:17">
      <c r="N829" s="30"/>
      <c r="O829" s="30"/>
      <c r="P829" s="30"/>
      <c r="Q829" s="571"/>
    </row>
    <row r="830" spans="14:17">
      <c r="N830" s="30"/>
      <c r="O830" s="30"/>
      <c r="P830" s="30"/>
      <c r="Q830" s="571"/>
    </row>
    <row r="831" spans="14:17">
      <c r="N831" s="30"/>
      <c r="O831" s="30"/>
      <c r="P831" s="30"/>
      <c r="Q831" s="571"/>
    </row>
    <row r="832" spans="14:17">
      <c r="N832" s="30"/>
      <c r="O832" s="30"/>
      <c r="P832" s="30"/>
      <c r="Q832" s="571"/>
    </row>
    <row r="833" spans="14:17">
      <c r="N833" s="30"/>
      <c r="O833" s="30"/>
      <c r="P833" s="30"/>
      <c r="Q833" s="571"/>
    </row>
    <row r="834" spans="14:17">
      <c r="N834" s="30"/>
      <c r="O834" s="30"/>
      <c r="P834" s="30"/>
      <c r="Q834" s="571"/>
    </row>
    <row r="835" spans="14:17">
      <c r="N835" s="30"/>
      <c r="O835" s="30"/>
      <c r="P835" s="30"/>
      <c r="Q835" s="571"/>
    </row>
    <row r="836" spans="14:17">
      <c r="N836" s="30"/>
      <c r="O836" s="30"/>
      <c r="P836" s="30"/>
      <c r="Q836" s="571"/>
    </row>
    <row r="837" spans="14:17">
      <c r="N837" s="30"/>
      <c r="O837" s="30"/>
      <c r="P837" s="30"/>
      <c r="Q837" s="571"/>
    </row>
    <row r="838" spans="14:17">
      <c r="N838" s="30"/>
      <c r="O838" s="30"/>
      <c r="P838" s="30"/>
      <c r="Q838" s="571"/>
    </row>
    <row r="839" spans="14:17">
      <c r="N839" s="30"/>
      <c r="O839" s="30"/>
      <c r="P839" s="30"/>
      <c r="Q839" s="571"/>
    </row>
    <row r="840" spans="14:17">
      <c r="N840" s="30"/>
      <c r="O840" s="30"/>
      <c r="P840" s="30"/>
      <c r="Q840" s="571"/>
    </row>
    <row r="841" spans="14:17">
      <c r="N841" s="30"/>
      <c r="O841" s="30"/>
      <c r="P841" s="30"/>
      <c r="Q841" s="571"/>
    </row>
    <row r="842" spans="14:17">
      <c r="N842" s="30"/>
      <c r="O842" s="30"/>
      <c r="P842" s="30"/>
      <c r="Q842" s="571"/>
    </row>
    <row r="843" spans="14:17">
      <c r="N843" s="30"/>
      <c r="O843" s="30"/>
      <c r="P843" s="30"/>
      <c r="Q843" s="571"/>
    </row>
    <row r="844" spans="14:17">
      <c r="N844" s="30"/>
      <c r="O844" s="30"/>
      <c r="P844" s="30"/>
      <c r="Q844" s="571"/>
    </row>
    <row r="845" spans="14:17">
      <c r="N845" s="30"/>
      <c r="O845" s="30"/>
      <c r="P845" s="30"/>
      <c r="Q845" s="571"/>
    </row>
    <row r="846" spans="14:17">
      <c r="N846" s="30"/>
      <c r="O846" s="30"/>
      <c r="P846" s="30"/>
      <c r="Q846" s="571"/>
    </row>
    <row r="847" spans="14:17">
      <c r="N847" s="30"/>
      <c r="O847" s="30"/>
      <c r="P847" s="30"/>
      <c r="Q847" s="571"/>
    </row>
    <row r="848" spans="14:17">
      <c r="N848" s="30"/>
      <c r="O848" s="30"/>
      <c r="P848" s="30"/>
      <c r="Q848" s="571"/>
    </row>
    <row r="849" spans="14:17">
      <c r="N849" s="30"/>
      <c r="O849" s="30"/>
      <c r="P849" s="30"/>
      <c r="Q849" s="571"/>
    </row>
    <row r="850" spans="14:17">
      <c r="N850" s="30"/>
      <c r="O850" s="30"/>
      <c r="P850" s="30"/>
      <c r="Q850" s="571"/>
    </row>
    <row r="851" spans="14:17">
      <c r="N851" s="30"/>
      <c r="O851" s="30"/>
      <c r="P851" s="30"/>
      <c r="Q851" s="571"/>
    </row>
    <row r="852" spans="14:17">
      <c r="N852" s="30"/>
      <c r="O852" s="30"/>
      <c r="P852" s="30"/>
      <c r="Q852" s="571"/>
    </row>
    <row r="853" spans="14:17">
      <c r="N853" s="30"/>
      <c r="O853" s="30"/>
      <c r="P853" s="30"/>
      <c r="Q853" s="571"/>
    </row>
    <row r="854" spans="14:17">
      <c r="N854" s="30"/>
      <c r="O854" s="30"/>
      <c r="P854" s="30"/>
      <c r="Q854" s="571"/>
    </row>
    <row r="855" spans="14:17">
      <c r="N855" s="30"/>
      <c r="O855" s="30"/>
      <c r="P855" s="30"/>
      <c r="Q855" s="571"/>
    </row>
    <row r="856" spans="14:17">
      <c r="N856" s="30"/>
      <c r="O856" s="30"/>
      <c r="P856" s="30"/>
      <c r="Q856" s="571"/>
    </row>
    <row r="857" spans="14:17">
      <c r="N857" s="30"/>
      <c r="O857" s="30"/>
      <c r="P857" s="30"/>
      <c r="Q857" s="571"/>
    </row>
    <row r="858" spans="14:17">
      <c r="N858" s="30"/>
      <c r="O858" s="30"/>
      <c r="P858" s="30"/>
      <c r="Q858" s="571"/>
    </row>
    <row r="859" spans="14:17">
      <c r="N859" s="30"/>
      <c r="O859" s="30"/>
      <c r="P859" s="30"/>
      <c r="Q859" s="571"/>
    </row>
    <row r="860" spans="14:17">
      <c r="N860" s="30"/>
      <c r="O860" s="30"/>
      <c r="P860" s="30"/>
      <c r="Q860" s="571"/>
    </row>
    <row r="861" spans="14:17">
      <c r="N861" s="30"/>
      <c r="O861" s="30"/>
      <c r="P861" s="30"/>
      <c r="Q861" s="571"/>
    </row>
    <row r="862" spans="14:17">
      <c r="N862" s="30"/>
      <c r="O862" s="30"/>
      <c r="P862" s="30"/>
      <c r="Q862" s="571"/>
    </row>
    <row r="863" spans="14:17">
      <c r="N863" s="30"/>
      <c r="O863" s="30"/>
      <c r="P863" s="30"/>
      <c r="Q863" s="571"/>
    </row>
    <row r="864" spans="14:17">
      <c r="N864" s="30"/>
      <c r="O864" s="30"/>
      <c r="P864" s="30"/>
      <c r="Q864" s="571"/>
    </row>
    <row r="865" spans="14:17">
      <c r="N865" s="30"/>
      <c r="O865" s="30"/>
      <c r="P865" s="30"/>
      <c r="Q865" s="571"/>
    </row>
    <row r="866" spans="14:17">
      <c r="N866" s="30"/>
      <c r="O866" s="30"/>
      <c r="P866" s="30"/>
      <c r="Q866" s="571"/>
    </row>
    <row r="867" spans="14:17">
      <c r="N867" s="30"/>
      <c r="O867" s="30"/>
      <c r="P867" s="30"/>
      <c r="Q867" s="571"/>
    </row>
    <row r="868" spans="14:17">
      <c r="N868" s="30"/>
      <c r="O868" s="30"/>
      <c r="P868" s="30"/>
      <c r="Q868" s="571"/>
    </row>
    <row r="869" spans="14:17">
      <c r="N869" s="30"/>
      <c r="O869" s="30"/>
      <c r="P869" s="30"/>
      <c r="Q869" s="571"/>
    </row>
    <row r="870" spans="14:17">
      <c r="N870" s="30"/>
      <c r="O870" s="30"/>
      <c r="P870" s="30"/>
      <c r="Q870" s="571"/>
    </row>
    <row r="871" spans="14:17">
      <c r="N871" s="30"/>
      <c r="O871" s="30"/>
      <c r="P871" s="30"/>
      <c r="Q871" s="571"/>
    </row>
    <row r="872" spans="14:17">
      <c r="N872" s="30"/>
      <c r="O872" s="30"/>
      <c r="P872" s="30"/>
      <c r="Q872" s="571"/>
    </row>
    <row r="873" spans="14:17">
      <c r="N873" s="30"/>
      <c r="O873" s="30"/>
      <c r="P873" s="30"/>
      <c r="Q873" s="571"/>
    </row>
    <row r="874" spans="14:17">
      <c r="N874" s="30"/>
      <c r="O874" s="30"/>
      <c r="P874" s="30"/>
      <c r="Q874" s="571"/>
    </row>
    <row r="875" spans="14:17">
      <c r="N875" s="30"/>
      <c r="O875" s="30"/>
      <c r="P875" s="30"/>
      <c r="Q875" s="571"/>
    </row>
    <row r="876" spans="14:17">
      <c r="N876" s="30"/>
      <c r="O876" s="30"/>
      <c r="P876" s="30"/>
      <c r="Q876" s="571"/>
    </row>
    <row r="877" spans="14:17">
      <c r="N877" s="30"/>
      <c r="O877" s="30"/>
      <c r="P877" s="30"/>
      <c r="Q877" s="571"/>
    </row>
    <row r="878" spans="14:17">
      <c r="N878" s="30"/>
      <c r="O878" s="30"/>
      <c r="P878" s="30"/>
      <c r="Q878" s="571"/>
    </row>
    <row r="879" spans="14:17">
      <c r="N879" s="30"/>
      <c r="O879" s="30"/>
      <c r="P879" s="30"/>
      <c r="Q879" s="571"/>
    </row>
    <row r="880" spans="14:17">
      <c r="N880" s="30"/>
      <c r="O880" s="30"/>
      <c r="P880" s="30"/>
      <c r="Q880" s="571"/>
    </row>
    <row r="881" spans="14:17">
      <c r="N881" s="30"/>
      <c r="O881" s="30"/>
      <c r="P881" s="30"/>
      <c r="Q881" s="571"/>
    </row>
    <row r="882" spans="14:17">
      <c r="N882" s="30"/>
      <c r="O882" s="30"/>
      <c r="P882" s="30"/>
      <c r="Q882" s="571"/>
    </row>
    <row r="883" spans="14:17">
      <c r="N883" s="30"/>
      <c r="O883" s="30"/>
      <c r="P883" s="30"/>
      <c r="Q883" s="571"/>
    </row>
    <row r="884" spans="14:17">
      <c r="N884" s="30"/>
      <c r="O884" s="30"/>
      <c r="P884" s="30"/>
      <c r="Q884" s="571"/>
    </row>
    <row r="885" spans="14:17">
      <c r="N885" s="30"/>
      <c r="O885" s="30"/>
      <c r="P885" s="30"/>
      <c r="Q885" s="571"/>
    </row>
    <row r="886" spans="14:17">
      <c r="N886" s="30"/>
      <c r="O886" s="30"/>
      <c r="P886" s="30"/>
      <c r="Q886" s="571"/>
    </row>
    <row r="887" spans="14:17">
      <c r="N887" s="30"/>
      <c r="O887" s="30"/>
      <c r="P887" s="30"/>
      <c r="Q887" s="571"/>
    </row>
    <row r="888" spans="14:17">
      <c r="N888" s="30"/>
      <c r="O888" s="30"/>
      <c r="P888" s="30"/>
      <c r="Q888" s="571"/>
    </row>
    <row r="889" spans="14:17">
      <c r="N889" s="30"/>
      <c r="O889" s="30"/>
      <c r="P889" s="30"/>
      <c r="Q889" s="571"/>
    </row>
    <row r="890" spans="14:17">
      <c r="N890" s="30"/>
      <c r="O890" s="30"/>
      <c r="P890" s="30"/>
      <c r="Q890" s="571"/>
    </row>
    <row r="891" spans="14:17">
      <c r="N891" s="30"/>
      <c r="O891" s="30"/>
      <c r="P891" s="30"/>
      <c r="Q891" s="571"/>
    </row>
    <row r="892" spans="14:17">
      <c r="N892" s="30"/>
      <c r="O892" s="30"/>
      <c r="P892" s="30"/>
      <c r="Q892" s="571"/>
    </row>
    <row r="893" spans="14:17">
      <c r="N893" s="30"/>
      <c r="O893" s="30"/>
      <c r="P893" s="30"/>
      <c r="Q893" s="571"/>
    </row>
    <row r="894" spans="14:17">
      <c r="N894" s="30"/>
      <c r="O894" s="30"/>
      <c r="P894" s="30"/>
      <c r="Q894" s="571"/>
    </row>
    <row r="895" spans="14:17">
      <c r="N895" s="30"/>
      <c r="O895" s="30"/>
      <c r="P895" s="30"/>
      <c r="Q895" s="571"/>
    </row>
    <row r="896" spans="14:17">
      <c r="N896" s="30"/>
      <c r="O896" s="30"/>
      <c r="P896" s="30"/>
      <c r="Q896" s="571"/>
    </row>
    <row r="897" spans="14:17">
      <c r="N897" s="30"/>
      <c r="O897" s="30"/>
      <c r="P897" s="30"/>
      <c r="Q897" s="571"/>
    </row>
    <row r="898" spans="14:17">
      <c r="N898" s="30"/>
      <c r="O898" s="30"/>
      <c r="P898" s="30"/>
      <c r="Q898" s="571"/>
    </row>
    <row r="899" spans="14:17">
      <c r="N899" s="30"/>
      <c r="O899" s="30"/>
      <c r="P899" s="30"/>
      <c r="Q899" s="571"/>
    </row>
    <row r="900" spans="14:17">
      <c r="N900" s="30"/>
      <c r="O900" s="30"/>
      <c r="P900" s="30"/>
      <c r="Q900" s="571"/>
    </row>
    <row r="901" spans="14:17">
      <c r="N901" s="30"/>
      <c r="O901" s="30"/>
      <c r="P901" s="30"/>
      <c r="Q901" s="571"/>
    </row>
    <row r="902" spans="14:17">
      <c r="N902" s="30"/>
      <c r="O902" s="30"/>
      <c r="P902" s="30"/>
      <c r="Q902" s="571"/>
    </row>
    <row r="903" spans="14:17">
      <c r="N903" s="30"/>
      <c r="O903" s="30"/>
      <c r="P903" s="30"/>
      <c r="Q903" s="571"/>
    </row>
    <row r="904" spans="14:17">
      <c r="N904" s="30"/>
      <c r="O904" s="30"/>
      <c r="P904" s="30"/>
      <c r="Q904" s="571"/>
    </row>
    <row r="905" spans="14:17">
      <c r="N905" s="30"/>
      <c r="O905" s="30"/>
      <c r="P905" s="30"/>
      <c r="Q905" s="571"/>
    </row>
    <row r="906" spans="14:17">
      <c r="N906" s="30"/>
      <c r="O906" s="30"/>
      <c r="P906" s="30"/>
      <c r="Q906" s="571"/>
    </row>
    <row r="907" spans="14:17">
      <c r="N907" s="30"/>
      <c r="O907" s="30"/>
      <c r="P907" s="30"/>
      <c r="Q907" s="571"/>
    </row>
    <row r="908" spans="14:17">
      <c r="N908" s="30"/>
      <c r="O908" s="30"/>
      <c r="P908" s="30"/>
      <c r="Q908" s="571"/>
    </row>
    <row r="909" spans="14:17">
      <c r="N909" s="30"/>
      <c r="O909" s="30"/>
      <c r="P909" s="30"/>
      <c r="Q909" s="571"/>
    </row>
    <row r="910" spans="14:17">
      <c r="N910" s="30"/>
      <c r="O910" s="30"/>
      <c r="P910" s="30"/>
      <c r="Q910" s="571"/>
    </row>
    <row r="911" spans="14:17">
      <c r="N911" s="30"/>
      <c r="O911" s="30"/>
      <c r="P911" s="30"/>
      <c r="Q911" s="571"/>
    </row>
    <row r="912" spans="14:17">
      <c r="N912" s="30"/>
      <c r="O912" s="30"/>
      <c r="P912" s="30"/>
      <c r="Q912" s="571"/>
    </row>
    <row r="913" spans="14:17">
      <c r="N913" s="30"/>
      <c r="O913" s="30"/>
      <c r="P913" s="30"/>
      <c r="Q913" s="571"/>
    </row>
    <row r="914" spans="14:17">
      <c r="N914" s="30"/>
      <c r="O914" s="30"/>
      <c r="P914" s="30"/>
      <c r="Q914" s="571"/>
    </row>
    <row r="915" spans="14:17">
      <c r="N915" s="30"/>
      <c r="O915" s="30"/>
      <c r="P915" s="30"/>
      <c r="Q915" s="571"/>
    </row>
    <row r="916" spans="14:17">
      <c r="N916" s="30"/>
      <c r="O916" s="30"/>
      <c r="P916" s="30"/>
      <c r="Q916" s="571"/>
    </row>
    <row r="917" spans="14:17">
      <c r="N917" s="30"/>
      <c r="O917" s="30"/>
      <c r="P917" s="30"/>
      <c r="Q917" s="571"/>
    </row>
    <row r="918" spans="14:17">
      <c r="N918" s="30"/>
      <c r="O918" s="30"/>
      <c r="P918" s="30"/>
      <c r="Q918" s="571"/>
    </row>
    <row r="919" spans="14:17">
      <c r="N919" s="30"/>
      <c r="O919" s="30"/>
      <c r="P919" s="30"/>
      <c r="Q919" s="571"/>
    </row>
    <row r="920" spans="14:17">
      <c r="N920" s="30"/>
      <c r="O920" s="30"/>
      <c r="P920" s="30"/>
      <c r="Q920" s="571"/>
    </row>
    <row r="921" spans="14:17">
      <c r="N921" s="30"/>
      <c r="O921" s="30"/>
      <c r="P921" s="30"/>
      <c r="Q921" s="571"/>
    </row>
    <row r="922" spans="14:17">
      <c r="N922" s="30"/>
      <c r="O922" s="30"/>
      <c r="P922" s="30"/>
      <c r="Q922" s="571"/>
    </row>
    <row r="923" spans="14:17">
      <c r="N923" s="30"/>
      <c r="O923" s="30"/>
      <c r="P923" s="30"/>
      <c r="Q923" s="571"/>
    </row>
    <row r="924" spans="14:17">
      <c r="N924" s="30"/>
      <c r="O924" s="30"/>
      <c r="P924" s="30"/>
      <c r="Q924" s="571"/>
    </row>
    <row r="925" spans="14:17">
      <c r="N925" s="30"/>
      <c r="O925" s="30"/>
      <c r="P925" s="30"/>
      <c r="Q925" s="571"/>
    </row>
    <row r="926" spans="14:17">
      <c r="N926" s="30"/>
      <c r="O926" s="30"/>
      <c r="P926" s="30"/>
      <c r="Q926" s="571"/>
    </row>
    <row r="927" spans="14:17">
      <c r="N927" s="30"/>
      <c r="O927" s="30"/>
      <c r="P927" s="30"/>
      <c r="Q927" s="571"/>
    </row>
    <row r="928" spans="14:17">
      <c r="N928" s="30"/>
      <c r="O928" s="30"/>
      <c r="P928" s="30"/>
      <c r="Q928" s="571"/>
    </row>
    <row r="929" spans="14:17">
      <c r="N929" s="30"/>
      <c r="O929" s="30"/>
      <c r="P929" s="30"/>
      <c r="Q929" s="571"/>
    </row>
    <row r="930" spans="14:17">
      <c r="N930" s="30"/>
      <c r="O930" s="30"/>
      <c r="P930" s="30"/>
      <c r="Q930" s="571"/>
    </row>
    <row r="931" spans="14:17">
      <c r="N931" s="30"/>
      <c r="O931" s="30"/>
      <c r="P931" s="30"/>
      <c r="Q931" s="571"/>
    </row>
    <row r="932" spans="14:17">
      <c r="N932" s="30"/>
      <c r="O932" s="30"/>
      <c r="P932" s="30"/>
      <c r="Q932" s="571"/>
    </row>
    <row r="933" spans="14:17">
      <c r="N933" s="30"/>
      <c r="O933" s="30"/>
      <c r="P933" s="30"/>
      <c r="Q933" s="571"/>
    </row>
    <row r="934" spans="14:17">
      <c r="N934" s="30"/>
      <c r="O934" s="30"/>
      <c r="P934" s="30"/>
      <c r="Q934" s="571"/>
    </row>
    <row r="935" spans="14:17">
      <c r="N935" s="30"/>
      <c r="O935" s="30"/>
      <c r="P935" s="30"/>
      <c r="Q935" s="571"/>
    </row>
    <row r="936" spans="14:17">
      <c r="N936" s="30"/>
      <c r="O936" s="30"/>
      <c r="P936" s="30"/>
      <c r="Q936" s="571"/>
    </row>
    <row r="937" spans="14:17">
      <c r="N937" s="30"/>
      <c r="O937" s="30"/>
      <c r="P937" s="30"/>
      <c r="Q937" s="571"/>
    </row>
    <row r="938" spans="14:17">
      <c r="N938" s="30"/>
      <c r="O938" s="30"/>
      <c r="P938" s="30"/>
      <c r="Q938" s="571"/>
    </row>
    <row r="939" spans="14:17">
      <c r="N939" s="30"/>
      <c r="O939" s="30"/>
      <c r="P939" s="30"/>
      <c r="Q939" s="571"/>
    </row>
    <row r="940" spans="14:17">
      <c r="N940" s="30"/>
      <c r="O940" s="30"/>
      <c r="P940" s="30"/>
      <c r="Q940" s="571"/>
    </row>
    <row r="941" spans="14:17">
      <c r="N941" s="30"/>
      <c r="O941" s="30"/>
      <c r="P941" s="30"/>
      <c r="Q941" s="571"/>
    </row>
    <row r="942" spans="14:17">
      <c r="N942" s="30"/>
      <c r="O942" s="30"/>
      <c r="P942" s="30"/>
      <c r="Q942" s="571"/>
    </row>
    <row r="943" spans="14:17">
      <c r="N943" s="30"/>
      <c r="O943" s="30"/>
      <c r="P943" s="30"/>
      <c r="Q943" s="571"/>
    </row>
    <row r="944" spans="14:17">
      <c r="N944" s="30"/>
      <c r="O944" s="30"/>
      <c r="P944" s="30"/>
      <c r="Q944" s="571"/>
    </row>
    <row r="945" spans="14:17">
      <c r="N945" s="30"/>
      <c r="O945" s="30"/>
      <c r="P945" s="30"/>
      <c r="Q945" s="571"/>
    </row>
    <row r="946" spans="14:17">
      <c r="N946" s="30"/>
      <c r="O946" s="30"/>
      <c r="P946" s="30"/>
      <c r="Q946" s="571"/>
    </row>
    <row r="947" spans="14:17">
      <c r="N947" s="30"/>
      <c r="O947" s="30"/>
      <c r="P947" s="30"/>
      <c r="Q947" s="571"/>
    </row>
    <row r="948" spans="14:17">
      <c r="N948" s="30"/>
      <c r="O948" s="30"/>
      <c r="P948" s="30"/>
      <c r="Q948" s="571"/>
    </row>
    <row r="949" spans="14:17">
      <c r="N949" s="30"/>
      <c r="O949" s="30"/>
      <c r="P949" s="30"/>
      <c r="Q949" s="571"/>
    </row>
    <row r="950" spans="14:17">
      <c r="N950" s="30"/>
      <c r="O950" s="30"/>
      <c r="P950" s="30"/>
      <c r="Q950" s="571"/>
    </row>
    <row r="951" spans="14:17">
      <c r="N951" s="30"/>
      <c r="O951" s="30"/>
      <c r="P951" s="30"/>
      <c r="Q951" s="571"/>
    </row>
    <row r="952" spans="14:17">
      <c r="N952" s="30"/>
      <c r="O952" s="30"/>
      <c r="P952" s="30"/>
      <c r="Q952" s="571"/>
    </row>
    <row r="953" spans="14:17">
      <c r="N953" s="30"/>
      <c r="O953" s="30"/>
      <c r="P953" s="30"/>
      <c r="Q953" s="571"/>
    </row>
    <row r="954" spans="14:17">
      <c r="N954" s="30"/>
      <c r="O954" s="30"/>
      <c r="P954" s="30"/>
      <c r="Q954" s="571"/>
    </row>
    <row r="955" spans="14:17">
      <c r="N955" s="30"/>
      <c r="O955" s="30"/>
      <c r="P955" s="30"/>
      <c r="Q955" s="571"/>
    </row>
    <row r="956" spans="14:17">
      <c r="N956" s="30"/>
      <c r="O956" s="30"/>
      <c r="P956" s="30"/>
      <c r="Q956" s="571"/>
    </row>
    <row r="957" spans="14:17">
      <c r="N957" s="30"/>
      <c r="O957" s="30"/>
      <c r="P957" s="30"/>
      <c r="Q957" s="571"/>
    </row>
    <row r="958" spans="14:17">
      <c r="N958" s="30"/>
      <c r="O958" s="30"/>
      <c r="P958" s="30"/>
      <c r="Q958" s="571"/>
    </row>
    <row r="959" spans="14:17">
      <c r="N959" s="30"/>
      <c r="O959" s="30"/>
      <c r="P959" s="30"/>
      <c r="Q959" s="571"/>
    </row>
    <row r="960" spans="14:17">
      <c r="N960" s="30"/>
      <c r="O960" s="30"/>
      <c r="P960" s="30"/>
      <c r="Q960" s="571"/>
    </row>
    <row r="961" spans="14:17">
      <c r="N961" s="30"/>
      <c r="O961" s="30"/>
      <c r="P961" s="30"/>
      <c r="Q961" s="571"/>
    </row>
    <row r="962" spans="14:17">
      <c r="N962" s="30"/>
      <c r="O962" s="30"/>
      <c r="P962" s="30"/>
      <c r="Q962" s="571"/>
    </row>
    <row r="963" spans="14:17">
      <c r="N963" s="30"/>
      <c r="O963" s="30"/>
      <c r="P963" s="30"/>
      <c r="Q963" s="571"/>
    </row>
    <row r="964" spans="14:17">
      <c r="N964" s="30"/>
      <c r="O964" s="30"/>
      <c r="P964" s="30"/>
      <c r="Q964" s="571"/>
    </row>
    <row r="965" spans="14:17">
      <c r="N965" s="30"/>
      <c r="O965" s="30"/>
      <c r="P965" s="30"/>
      <c r="Q965" s="571"/>
    </row>
    <row r="966" spans="14:17">
      <c r="N966" s="30"/>
      <c r="O966" s="30"/>
      <c r="P966" s="30"/>
      <c r="Q966" s="571"/>
    </row>
    <row r="967" spans="14:17">
      <c r="N967" s="30"/>
      <c r="O967" s="30"/>
      <c r="P967" s="30"/>
      <c r="Q967" s="571"/>
    </row>
    <row r="968" spans="14:17">
      <c r="N968" s="30"/>
      <c r="O968" s="30"/>
      <c r="P968" s="30"/>
      <c r="Q968" s="571"/>
    </row>
    <row r="969" spans="14:17">
      <c r="N969" s="30"/>
      <c r="O969" s="30"/>
      <c r="P969" s="30"/>
      <c r="Q969" s="571"/>
    </row>
    <row r="970" spans="14:17">
      <c r="N970" s="30"/>
      <c r="O970" s="30"/>
      <c r="P970" s="30"/>
      <c r="Q970" s="571"/>
    </row>
    <row r="971" spans="14:17">
      <c r="N971" s="30"/>
      <c r="O971" s="30"/>
      <c r="P971" s="30"/>
      <c r="Q971" s="571"/>
    </row>
    <row r="972" spans="14:17">
      <c r="N972" s="30"/>
      <c r="O972" s="30"/>
      <c r="P972" s="30"/>
      <c r="Q972" s="571"/>
    </row>
    <row r="973" spans="14:17">
      <c r="N973" s="30"/>
      <c r="O973" s="30"/>
      <c r="P973" s="30"/>
      <c r="Q973" s="571"/>
    </row>
    <row r="974" spans="14:17">
      <c r="N974" s="30"/>
      <c r="O974" s="30"/>
      <c r="P974" s="30"/>
      <c r="Q974" s="571"/>
    </row>
    <row r="975" spans="14:17">
      <c r="N975" s="30"/>
      <c r="O975" s="30"/>
      <c r="P975" s="30"/>
      <c r="Q975" s="571"/>
    </row>
    <row r="976" spans="14:17">
      <c r="N976" s="30"/>
      <c r="O976" s="30"/>
      <c r="P976" s="30"/>
      <c r="Q976" s="571"/>
    </row>
    <row r="977" spans="14:17">
      <c r="N977" s="30"/>
      <c r="O977" s="30"/>
      <c r="P977" s="30"/>
      <c r="Q977" s="571"/>
    </row>
    <row r="978" spans="14:17">
      <c r="N978" s="30"/>
      <c r="O978" s="30"/>
      <c r="P978" s="30"/>
      <c r="Q978" s="571"/>
    </row>
    <row r="979" spans="14:17">
      <c r="N979" s="30"/>
      <c r="O979" s="30"/>
      <c r="P979" s="30"/>
      <c r="Q979" s="571"/>
    </row>
    <row r="980" spans="14:17">
      <c r="N980" s="30"/>
      <c r="O980" s="30"/>
      <c r="P980" s="30"/>
      <c r="Q980" s="571"/>
    </row>
    <row r="981" spans="14:17">
      <c r="N981" s="30"/>
      <c r="O981" s="30"/>
      <c r="P981" s="30"/>
      <c r="Q981" s="571"/>
    </row>
    <row r="982" spans="14:17">
      <c r="N982" s="30"/>
      <c r="O982" s="30"/>
      <c r="P982" s="30"/>
      <c r="Q982" s="571"/>
    </row>
    <row r="983" spans="14:17">
      <c r="N983" s="30"/>
      <c r="O983" s="30"/>
      <c r="P983" s="30"/>
      <c r="Q983" s="571"/>
    </row>
    <row r="984" spans="14:17">
      <c r="N984" s="30"/>
      <c r="O984" s="30"/>
      <c r="P984" s="30"/>
      <c r="Q984" s="571"/>
    </row>
    <row r="985" spans="14:17">
      <c r="N985" s="30"/>
      <c r="O985" s="30"/>
      <c r="P985" s="30"/>
      <c r="Q985" s="571"/>
    </row>
    <row r="986" spans="14:17">
      <c r="N986" s="30"/>
      <c r="O986" s="30"/>
      <c r="P986" s="30"/>
      <c r="Q986" s="571"/>
    </row>
    <row r="987" spans="14:17">
      <c r="N987" s="30"/>
      <c r="O987" s="30"/>
      <c r="P987" s="30"/>
      <c r="Q987" s="571"/>
    </row>
    <row r="988" spans="14:17">
      <c r="N988" s="30"/>
      <c r="O988" s="30"/>
      <c r="P988" s="30"/>
      <c r="Q988" s="571"/>
    </row>
    <row r="989" spans="14:17">
      <c r="N989" s="30"/>
      <c r="O989" s="30"/>
      <c r="P989" s="30"/>
      <c r="Q989" s="571"/>
    </row>
    <row r="990" spans="14:17">
      <c r="N990" s="30"/>
      <c r="O990" s="30"/>
      <c r="P990" s="30"/>
      <c r="Q990" s="571"/>
    </row>
    <row r="991" spans="14:17">
      <c r="N991" s="30"/>
      <c r="O991" s="30"/>
      <c r="P991" s="30"/>
      <c r="Q991" s="571"/>
    </row>
    <row r="992" spans="14:17">
      <c r="N992" s="30"/>
      <c r="O992" s="30"/>
      <c r="P992" s="30"/>
      <c r="Q992" s="571"/>
    </row>
    <row r="993" spans="14:17">
      <c r="N993" s="30"/>
      <c r="O993" s="30"/>
      <c r="P993" s="30"/>
      <c r="Q993" s="571"/>
    </row>
    <row r="994" spans="14:17">
      <c r="N994" s="30"/>
      <c r="O994" s="30"/>
      <c r="P994" s="30"/>
      <c r="Q994" s="571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34998626667073579"/>
  </sheetPr>
  <dimension ref="A1:P50"/>
  <sheetViews>
    <sheetView view="pageBreakPreview" zoomScaleSheetLayoutView="100" workbookViewId="0">
      <pane xSplit="2" ySplit="6" topLeftCell="C37" activePane="bottomRight" state="frozen"/>
      <selection pane="topRight" activeCell="C1" sqref="C1"/>
      <selection pane="bottomLeft" activeCell="A7" sqref="A7"/>
      <selection pane="bottomRight" activeCell="H49" sqref="H49"/>
    </sheetView>
  </sheetViews>
  <sheetFormatPr defaultColWidth="9.140625" defaultRowHeight="12.75"/>
  <cols>
    <col min="1" max="1" width="8" style="288" bestFit="1" customWidth="1"/>
    <col min="2" max="2" width="49.7109375" style="288" customWidth="1"/>
    <col min="3" max="3" width="5.5703125" style="321" bestFit="1" customWidth="1"/>
    <col min="4" max="5" width="4.28515625" style="321" bestFit="1" customWidth="1"/>
    <col min="6" max="6" width="14.7109375" style="321" bestFit="1" customWidth="1"/>
    <col min="7" max="9" width="11.42578125" style="289" bestFit="1" customWidth="1"/>
    <col min="10" max="10" width="11.28515625" style="289" customWidth="1"/>
    <col min="11" max="11" width="11.28515625" style="289" bestFit="1" customWidth="1"/>
    <col min="12" max="12" width="11.42578125" style="289" bestFit="1" customWidth="1"/>
    <col min="13" max="13" width="10" style="289" customWidth="1"/>
    <col min="14" max="14" width="14" style="288" bestFit="1" customWidth="1"/>
    <col min="15" max="15" width="15" style="288" customWidth="1"/>
    <col min="16" max="16" width="12.42578125" style="288" customWidth="1"/>
    <col min="17" max="16384" width="9.140625" style="288"/>
  </cols>
  <sheetData>
    <row r="1" spans="1:13" ht="21">
      <c r="B1" s="764" t="s">
        <v>297</v>
      </c>
      <c r="C1" s="764"/>
      <c r="D1" s="764"/>
      <c r="E1" s="764"/>
      <c r="F1" s="764"/>
      <c r="G1" s="764"/>
      <c r="H1" s="764"/>
      <c r="I1" s="764"/>
      <c r="J1" s="764"/>
      <c r="K1" s="764"/>
      <c r="L1" s="764"/>
    </row>
    <row r="2" spans="1:13" ht="21">
      <c r="B2" s="764" t="s">
        <v>239</v>
      </c>
      <c r="C2" s="764"/>
      <c r="D2" s="764"/>
      <c r="E2" s="764"/>
      <c r="F2" s="764"/>
      <c r="G2" s="764"/>
      <c r="H2" s="764"/>
      <c r="I2" s="764"/>
      <c r="J2" s="764"/>
      <c r="K2" s="764"/>
      <c r="L2" s="764"/>
    </row>
    <row r="3" spans="1:13" ht="21">
      <c r="B3" s="764" t="str">
        <f>封面!E10&amp;封面!H10&amp;封面!I10&amp;封面!J10&amp;封面!K10&amp;封面!L10</f>
        <v>中華民國111年12月份</v>
      </c>
      <c r="C3" s="764"/>
      <c r="D3" s="764"/>
      <c r="E3" s="764"/>
      <c r="F3" s="764"/>
      <c r="G3" s="764"/>
      <c r="H3" s="764"/>
      <c r="I3" s="764"/>
      <c r="J3" s="764"/>
      <c r="K3" s="764"/>
      <c r="L3" s="764"/>
    </row>
    <row r="4" spans="1:13" ht="21">
      <c r="B4" s="290" t="s">
        <v>313</v>
      </c>
      <c r="C4" s="291"/>
      <c r="D4" s="291"/>
      <c r="E4" s="291"/>
      <c r="F4" s="291"/>
      <c r="G4" s="292"/>
      <c r="H4" s="292"/>
      <c r="I4" s="292"/>
      <c r="J4" s="765"/>
      <c r="K4" s="765"/>
      <c r="L4" s="766"/>
    </row>
    <row r="5" spans="1:13" ht="16.5">
      <c r="A5" s="767" t="s">
        <v>240</v>
      </c>
      <c r="B5" s="768"/>
      <c r="C5" s="771" t="s">
        <v>241</v>
      </c>
      <c r="D5" s="771"/>
      <c r="E5" s="771"/>
      <c r="F5" s="772" t="s">
        <v>242</v>
      </c>
      <c r="G5" s="774" t="s">
        <v>243</v>
      </c>
      <c r="H5" s="775"/>
      <c r="I5" s="775"/>
      <c r="J5" s="775"/>
      <c r="K5" s="775"/>
      <c r="L5" s="776"/>
    </row>
    <row r="6" spans="1:13" ht="39.75" customHeight="1">
      <c r="A6" s="769"/>
      <c r="B6" s="770"/>
      <c r="C6" s="287" t="s">
        <v>244</v>
      </c>
      <c r="D6" s="287" t="s">
        <v>245</v>
      </c>
      <c r="E6" s="287" t="s">
        <v>246</v>
      </c>
      <c r="F6" s="773"/>
      <c r="G6" s="293" t="s">
        <v>290</v>
      </c>
      <c r="H6" s="293" t="s">
        <v>291</v>
      </c>
      <c r="I6" s="293" t="s">
        <v>292</v>
      </c>
      <c r="J6" s="293" t="s">
        <v>294</v>
      </c>
      <c r="K6" s="293" t="s">
        <v>293</v>
      </c>
      <c r="L6" s="293" t="s">
        <v>295</v>
      </c>
    </row>
    <row r="7" spans="1:13" ht="21">
      <c r="A7" s="777" t="s">
        <v>247</v>
      </c>
      <c r="B7" s="778"/>
      <c r="C7" s="287"/>
      <c r="D7" s="287"/>
      <c r="E7" s="287"/>
      <c r="F7" s="294"/>
      <c r="G7" s="779">
        <f>SUM(G8:L9)</f>
        <v>8994843</v>
      </c>
      <c r="H7" s="780"/>
      <c r="I7" s="780"/>
      <c r="J7" s="780"/>
      <c r="K7" s="780"/>
      <c r="L7" s="781"/>
      <c r="M7" s="300">
        <f>SUM(G7:L7)</f>
        <v>8994843</v>
      </c>
    </row>
    <row r="8" spans="1:13" ht="16.5">
      <c r="A8" s="777" t="s">
        <v>248</v>
      </c>
      <c r="B8" s="778"/>
      <c r="C8" s="295"/>
      <c r="D8" s="295"/>
      <c r="E8" s="295"/>
      <c r="F8" s="296"/>
      <c r="G8" s="297">
        <f>'勾稽 (2)'!D25</f>
        <v>0</v>
      </c>
      <c r="H8" s="297">
        <f>'勾稽 (2)'!D28</f>
        <v>5032173</v>
      </c>
      <c r="I8" s="297">
        <f>'勾稽 (2)'!D27</f>
        <v>1068823</v>
      </c>
      <c r="J8" s="297">
        <f>'勾稽 (2)'!D29</f>
        <v>993847</v>
      </c>
      <c r="K8" s="297">
        <f>'勾稽 (2)'!F26</f>
        <v>0</v>
      </c>
      <c r="L8" s="297">
        <f>'勾稽 (2)'!D30</f>
        <v>0</v>
      </c>
      <c r="M8" s="300">
        <f>SUM(G8:L8)</f>
        <v>7094843</v>
      </c>
    </row>
    <row r="9" spans="1:13" ht="16.5">
      <c r="A9" s="564"/>
      <c r="B9" s="565" t="s">
        <v>460</v>
      </c>
      <c r="C9" s="295"/>
      <c r="D9" s="295"/>
      <c r="E9" s="295"/>
      <c r="F9" s="296"/>
      <c r="G9" s="297"/>
      <c r="H9" s="297"/>
      <c r="I9" s="297"/>
      <c r="J9" s="297">
        <f>'勾稽 (2)'!E29</f>
        <v>1900000</v>
      </c>
      <c r="K9" s="297"/>
      <c r="L9" s="297"/>
      <c r="M9" s="300">
        <f>SUM(G9:L9)</f>
        <v>1900000</v>
      </c>
    </row>
    <row r="10" spans="1:13" ht="16.5">
      <c r="A10" s="777" t="s">
        <v>249</v>
      </c>
      <c r="B10" s="778"/>
      <c r="C10" s="298"/>
      <c r="D10" s="298"/>
      <c r="E10" s="298"/>
      <c r="F10" s="296"/>
      <c r="G10" s="299">
        <f t="shared" ref="G10:J10" si="0">SUM(G11:G13)</f>
        <v>0</v>
      </c>
      <c r="H10" s="299">
        <f t="shared" si="0"/>
        <v>1500</v>
      </c>
      <c r="I10" s="299">
        <f t="shared" si="0"/>
        <v>0</v>
      </c>
      <c r="J10" s="299">
        <f t="shared" si="0"/>
        <v>0</v>
      </c>
      <c r="K10" s="299">
        <f t="shared" ref="K10" si="1">SUM(K11:K13)</f>
        <v>0</v>
      </c>
      <c r="L10" s="299">
        <f>SUM(L11:L13)</f>
        <v>0</v>
      </c>
      <c r="M10" s="300">
        <f>SUM(G10:L10)</f>
        <v>1500</v>
      </c>
    </row>
    <row r="11" spans="1:13" ht="16.5">
      <c r="A11" s="329" t="s">
        <v>250</v>
      </c>
      <c r="B11" s="330"/>
      <c r="C11" s="298"/>
      <c r="D11" s="298"/>
      <c r="E11" s="298"/>
      <c r="F11" s="296"/>
      <c r="G11" s="301"/>
      <c r="H11" s="301">
        <v>1500</v>
      </c>
      <c r="I11" s="301"/>
      <c r="J11" s="301"/>
      <c r="K11" s="301"/>
      <c r="L11" s="301"/>
      <c r="M11" s="300"/>
    </row>
    <row r="12" spans="1:13" ht="16.5">
      <c r="A12" s="329" t="s">
        <v>251</v>
      </c>
      <c r="B12" s="330"/>
      <c r="C12" s="298"/>
      <c r="D12" s="298"/>
      <c r="E12" s="298"/>
      <c r="F12" s="296"/>
      <c r="G12" s="301"/>
      <c r="H12" s="301"/>
      <c r="I12" s="301"/>
      <c r="J12" s="301"/>
      <c r="K12" s="301"/>
      <c r="L12" s="301"/>
      <c r="M12" s="300"/>
    </row>
    <row r="13" spans="1:13" ht="16.5">
      <c r="A13" s="329" t="s">
        <v>252</v>
      </c>
      <c r="B13" s="330"/>
      <c r="C13" s="298"/>
      <c r="D13" s="298"/>
      <c r="E13" s="298"/>
      <c r="F13" s="296"/>
      <c r="G13" s="301"/>
      <c r="H13" s="301"/>
      <c r="I13" s="301"/>
      <c r="J13" s="301"/>
      <c r="K13" s="301"/>
      <c r="L13" s="301"/>
      <c r="M13" s="300"/>
    </row>
    <row r="14" spans="1:13" ht="16.5">
      <c r="A14" s="762" t="s">
        <v>253</v>
      </c>
      <c r="B14" s="778"/>
      <c r="C14" s="298"/>
      <c r="D14" s="298"/>
      <c r="E14" s="298"/>
      <c r="F14" s="296"/>
      <c r="G14" s="302">
        <f t="shared" ref="G14:J14" si="2">SUM(G15:G34)</f>
        <v>0</v>
      </c>
      <c r="H14" s="302">
        <f t="shared" si="2"/>
        <v>324026</v>
      </c>
      <c r="I14" s="302">
        <f t="shared" si="2"/>
        <v>1068</v>
      </c>
      <c r="J14" s="302">
        <f t="shared" si="2"/>
        <v>0</v>
      </c>
      <c r="K14" s="302">
        <f t="shared" ref="K14" si="3">SUM(K15:K34)</f>
        <v>0</v>
      </c>
      <c r="L14" s="302">
        <f>SUM(L15:L34)</f>
        <v>0</v>
      </c>
      <c r="M14" s="300">
        <f>SUM(G14:L14)</f>
        <v>325094</v>
      </c>
    </row>
    <row r="15" spans="1:13" ht="16.5">
      <c r="A15" s="329" t="s">
        <v>250</v>
      </c>
      <c r="B15" s="330"/>
      <c r="C15" s="303"/>
      <c r="D15" s="303"/>
      <c r="E15" s="303"/>
      <c r="F15" s="296"/>
      <c r="G15" s="304"/>
      <c r="H15" s="304">
        <v>9</v>
      </c>
      <c r="I15" s="304">
        <v>1068</v>
      </c>
      <c r="J15" s="304"/>
      <c r="K15" s="304"/>
      <c r="L15" s="304"/>
    </row>
    <row r="16" spans="1:13" ht="16.5">
      <c r="A16" s="329" t="s">
        <v>251</v>
      </c>
      <c r="B16" s="330"/>
      <c r="C16" s="303"/>
      <c r="D16" s="303"/>
      <c r="E16" s="303"/>
      <c r="F16" s="305"/>
      <c r="G16" s="304"/>
      <c r="H16" s="304">
        <v>4448</v>
      </c>
      <c r="I16" s="304"/>
      <c r="J16" s="304"/>
      <c r="K16" s="304"/>
      <c r="L16" s="304"/>
    </row>
    <row r="17" spans="1:13" ht="16.5">
      <c r="A17" s="329" t="s">
        <v>252</v>
      </c>
      <c r="B17" s="330"/>
      <c r="C17" s="303"/>
      <c r="D17" s="303"/>
      <c r="E17" s="303"/>
      <c r="F17" s="296"/>
      <c r="G17" s="304"/>
      <c r="H17" s="304">
        <v>2600</v>
      </c>
      <c r="I17" s="304"/>
      <c r="J17" s="304"/>
      <c r="K17" s="304"/>
      <c r="L17" s="304"/>
    </row>
    <row r="18" spans="1:13" ht="16.5">
      <c r="A18" s="329" t="s">
        <v>254</v>
      </c>
      <c r="B18" s="330"/>
      <c r="C18" s="303"/>
      <c r="D18" s="303"/>
      <c r="E18" s="303"/>
      <c r="F18" s="296"/>
      <c r="G18" s="304"/>
      <c r="H18" s="304">
        <v>24450</v>
      </c>
      <c r="I18" s="304"/>
      <c r="J18" s="304"/>
      <c r="K18" s="304"/>
      <c r="L18" s="304"/>
      <c r="M18" s="288"/>
    </row>
    <row r="19" spans="1:13" ht="16.5">
      <c r="A19" s="329" t="s">
        <v>255</v>
      </c>
      <c r="B19" s="330"/>
      <c r="C19" s="303"/>
      <c r="D19" s="303"/>
      <c r="E19" s="303"/>
      <c r="F19" s="296"/>
      <c r="G19" s="304"/>
      <c r="H19" s="304">
        <v>2321</v>
      </c>
      <c r="I19" s="304"/>
      <c r="J19" s="304"/>
      <c r="K19" s="304"/>
      <c r="L19" s="304"/>
      <c r="M19" s="288"/>
    </row>
    <row r="20" spans="1:13" ht="16.5">
      <c r="A20" s="329" t="s">
        <v>256</v>
      </c>
      <c r="B20" s="330"/>
      <c r="C20" s="303"/>
      <c r="D20" s="303"/>
      <c r="E20" s="303"/>
      <c r="F20" s="296"/>
      <c r="G20" s="304"/>
      <c r="H20" s="304">
        <v>5000</v>
      </c>
      <c r="I20" s="304"/>
      <c r="J20" s="304"/>
      <c r="K20" s="304"/>
      <c r="L20" s="304"/>
      <c r="M20" s="288"/>
    </row>
    <row r="21" spans="1:13" ht="16.5">
      <c r="A21" s="329" t="s">
        <v>257</v>
      </c>
      <c r="B21" s="330"/>
      <c r="C21" s="303"/>
      <c r="D21" s="303"/>
      <c r="E21" s="303"/>
      <c r="F21" s="296"/>
      <c r="G21" s="304"/>
      <c r="H21" s="304">
        <v>2449</v>
      </c>
      <c r="I21" s="304"/>
      <c r="J21" s="304"/>
      <c r="K21" s="304"/>
      <c r="L21" s="304"/>
      <c r="M21" s="288"/>
    </row>
    <row r="22" spans="1:13" ht="16.5">
      <c r="A22" s="329" t="s">
        <v>258</v>
      </c>
      <c r="B22" s="330"/>
      <c r="C22" s="303"/>
      <c r="D22" s="303"/>
      <c r="E22" s="303"/>
      <c r="F22" s="296"/>
      <c r="G22" s="304"/>
      <c r="H22" s="304">
        <v>282749</v>
      </c>
      <c r="I22" s="304"/>
      <c r="J22" s="304"/>
      <c r="K22" s="304"/>
      <c r="L22" s="304"/>
      <c r="M22" s="288"/>
    </row>
    <row r="23" spans="1:13" ht="16.5">
      <c r="A23" s="329" t="s">
        <v>259</v>
      </c>
      <c r="B23" s="330"/>
      <c r="C23" s="303"/>
      <c r="D23" s="303"/>
      <c r="E23" s="303"/>
      <c r="F23" s="296"/>
      <c r="G23" s="304"/>
      <c r="H23" s="304"/>
      <c r="I23" s="304"/>
      <c r="J23" s="304"/>
      <c r="K23" s="304"/>
      <c r="L23" s="304"/>
      <c r="M23" s="288"/>
    </row>
    <row r="24" spans="1:13" ht="16.5">
      <c r="A24" s="329" t="s">
        <v>260</v>
      </c>
      <c r="B24" s="330"/>
      <c r="C24" s="303"/>
      <c r="D24" s="303"/>
      <c r="E24" s="303"/>
      <c r="F24" s="296"/>
      <c r="G24" s="304"/>
      <c r="H24" s="304"/>
      <c r="I24" s="304"/>
      <c r="J24" s="304"/>
      <c r="K24" s="304"/>
      <c r="L24" s="304"/>
      <c r="M24" s="288"/>
    </row>
    <row r="25" spans="1:13" ht="16.5">
      <c r="A25" s="329" t="s">
        <v>261</v>
      </c>
      <c r="B25" s="330"/>
      <c r="C25" s="303"/>
      <c r="D25" s="303"/>
      <c r="E25" s="303"/>
      <c r="F25" s="296"/>
      <c r="G25" s="304"/>
      <c r="H25" s="304"/>
      <c r="I25" s="304"/>
      <c r="J25" s="304"/>
      <c r="K25" s="304"/>
      <c r="L25" s="304"/>
      <c r="M25" s="288"/>
    </row>
    <row r="26" spans="1:13" ht="16.5">
      <c r="A26" s="329" t="s">
        <v>262</v>
      </c>
      <c r="B26" s="330"/>
      <c r="C26" s="303"/>
      <c r="D26" s="303"/>
      <c r="E26" s="303"/>
      <c r="F26" s="296"/>
      <c r="G26" s="304"/>
      <c r="H26" s="304"/>
      <c r="I26" s="304"/>
      <c r="J26" s="304"/>
      <c r="K26" s="304"/>
      <c r="L26" s="304"/>
      <c r="M26" s="288"/>
    </row>
    <row r="27" spans="1:13" ht="16.5">
      <c r="A27" s="329" t="s">
        <v>263</v>
      </c>
      <c r="B27" s="330"/>
      <c r="C27" s="303"/>
      <c r="D27" s="303"/>
      <c r="E27" s="303"/>
      <c r="F27" s="296"/>
      <c r="G27" s="304"/>
      <c r="H27" s="304"/>
      <c r="I27" s="304"/>
      <c r="J27" s="304"/>
      <c r="K27" s="304"/>
      <c r="L27" s="304"/>
      <c r="M27" s="288"/>
    </row>
    <row r="28" spans="1:13" ht="16.5">
      <c r="A28" s="329" t="s">
        <v>264</v>
      </c>
      <c r="B28" s="330"/>
      <c r="C28" s="303"/>
      <c r="D28" s="303"/>
      <c r="E28" s="303"/>
      <c r="F28" s="296"/>
      <c r="G28" s="304"/>
      <c r="H28" s="304"/>
      <c r="I28" s="304"/>
      <c r="J28" s="304"/>
      <c r="K28" s="304"/>
      <c r="L28" s="304"/>
      <c r="M28" s="288"/>
    </row>
    <row r="29" spans="1:13" ht="16.5">
      <c r="A29" s="329" t="s">
        <v>265</v>
      </c>
      <c r="B29" s="330"/>
      <c r="C29" s="303"/>
      <c r="D29" s="303"/>
      <c r="E29" s="303"/>
      <c r="F29" s="296"/>
      <c r="G29" s="304"/>
      <c r="H29" s="304"/>
      <c r="I29" s="304"/>
      <c r="J29" s="304"/>
      <c r="K29" s="304"/>
      <c r="L29" s="304"/>
      <c r="M29" s="288"/>
    </row>
    <row r="30" spans="1:13" ht="16.5">
      <c r="A30" s="329" t="s">
        <v>266</v>
      </c>
      <c r="B30" s="330"/>
      <c r="C30" s="303"/>
      <c r="D30" s="303"/>
      <c r="E30" s="303"/>
      <c r="F30" s="296"/>
      <c r="G30" s="304"/>
      <c r="H30" s="304"/>
      <c r="I30" s="304"/>
      <c r="J30" s="304"/>
      <c r="K30" s="304"/>
      <c r="L30" s="304"/>
      <c r="M30" s="288"/>
    </row>
    <row r="31" spans="1:13" ht="16.5">
      <c r="A31" s="329" t="s">
        <v>267</v>
      </c>
      <c r="B31" s="330"/>
      <c r="C31" s="303"/>
      <c r="D31" s="303"/>
      <c r="E31" s="303"/>
      <c r="F31" s="296"/>
      <c r="G31" s="304"/>
      <c r="H31" s="304"/>
      <c r="I31" s="304"/>
      <c r="J31" s="304"/>
      <c r="K31" s="304"/>
      <c r="L31" s="304"/>
      <c r="M31" s="288"/>
    </row>
    <row r="32" spans="1:13" ht="16.5">
      <c r="A32" s="329" t="s">
        <v>268</v>
      </c>
      <c r="B32" s="330"/>
      <c r="C32" s="303"/>
      <c r="D32" s="303"/>
      <c r="E32" s="303"/>
      <c r="F32" s="296"/>
      <c r="G32" s="304"/>
      <c r="H32" s="304"/>
      <c r="I32" s="304"/>
      <c r="J32" s="304"/>
      <c r="K32" s="304"/>
      <c r="L32" s="304"/>
      <c r="M32" s="288"/>
    </row>
    <row r="33" spans="1:15" ht="16.5">
      <c r="A33" s="329" t="s">
        <v>269</v>
      </c>
      <c r="B33" s="330"/>
      <c r="C33" s="303"/>
      <c r="D33" s="303"/>
      <c r="E33" s="303"/>
      <c r="F33" s="296"/>
      <c r="G33" s="304"/>
      <c r="H33" s="304"/>
      <c r="I33" s="304"/>
      <c r="J33" s="304"/>
      <c r="K33" s="304"/>
      <c r="L33" s="304"/>
      <c r="M33" s="288"/>
    </row>
    <row r="34" spans="1:15" ht="16.5">
      <c r="A34" s="329" t="s">
        <v>270</v>
      </c>
      <c r="B34" s="330"/>
      <c r="C34" s="303"/>
      <c r="D34" s="303"/>
      <c r="E34" s="303"/>
      <c r="F34" s="296"/>
      <c r="G34" s="304"/>
      <c r="H34" s="304"/>
      <c r="I34" s="304"/>
      <c r="J34" s="304"/>
      <c r="K34" s="304"/>
      <c r="L34" s="304"/>
    </row>
    <row r="35" spans="1:15" ht="16.5">
      <c r="A35" s="762" t="s">
        <v>285</v>
      </c>
      <c r="B35" s="763"/>
      <c r="C35" s="306"/>
      <c r="D35" s="306"/>
      <c r="E35" s="306"/>
      <c r="F35" s="296"/>
      <c r="G35" s="307">
        <f t="shared" ref="G35:J35" si="4">SUM(G36:G38)</f>
        <v>0</v>
      </c>
      <c r="H35" s="307">
        <f t="shared" si="4"/>
        <v>0</v>
      </c>
      <c r="I35" s="307">
        <f t="shared" si="4"/>
        <v>0</v>
      </c>
      <c r="J35" s="307">
        <f t="shared" si="4"/>
        <v>0</v>
      </c>
      <c r="K35" s="307">
        <f t="shared" ref="K35" si="5">SUM(K36:K38)</f>
        <v>0</v>
      </c>
      <c r="L35" s="307">
        <f>SUM(L36:L38)</f>
        <v>0</v>
      </c>
      <c r="M35" s="300">
        <f>SUM(G35:L35)</f>
        <v>0</v>
      </c>
      <c r="N35" s="308"/>
    </row>
    <row r="36" spans="1:15" ht="16.5">
      <c r="A36" s="329" t="s">
        <v>286</v>
      </c>
      <c r="B36" s="330"/>
      <c r="C36" s="309"/>
      <c r="D36" s="309"/>
      <c r="E36" s="309"/>
      <c r="F36" s="310"/>
      <c r="G36" s="304"/>
      <c r="H36" s="304"/>
      <c r="I36" s="304"/>
      <c r="J36" s="304"/>
      <c r="K36" s="304"/>
      <c r="L36" s="304"/>
      <c r="N36" s="311"/>
    </row>
    <row r="37" spans="1:15" ht="16.5">
      <c r="A37" s="329" t="s">
        <v>251</v>
      </c>
      <c r="B37" s="330"/>
      <c r="C37" s="309"/>
      <c r="D37" s="309"/>
      <c r="E37" s="309"/>
      <c r="F37" s="310"/>
      <c r="G37" s="304"/>
      <c r="H37" s="304"/>
      <c r="I37" s="304"/>
      <c r="J37" s="304"/>
      <c r="K37" s="304"/>
      <c r="L37" s="304"/>
      <c r="N37" s="311"/>
    </row>
    <row r="38" spans="1:15" ht="16.5">
      <c r="A38" s="329" t="s">
        <v>252</v>
      </c>
      <c r="B38" s="330"/>
      <c r="C38" s="309"/>
      <c r="D38" s="309"/>
      <c r="E38" s="309"/>
      <c r="F38" s="310"/>
      <c r="G38" s="304"/>
      <c r="H38" s="304"/>
      <c r="I38" s="304"/>
      <c r="J38" s="304"/>
      <c r="K38" s="304"/>
      <c r="L38" s="304"/>
      <c r="N38" s="311"/>
    </row>
    <row r="39" spans="1:15" ht="16.5">
      <c r="A39" s="762" t="s">
        <v>287</v>
      </c>
      <c r="B39" s="763"/>
      <c r="C39" s="306"/>
      <c r="D39" s="306"/>
      <c r="E39" s="306"/>
      <c r="F39" s="296"/>
      <c r="G39" s="307">
        <f t="shared" ref="G39:J39" si="6">SUM(G40:G42)</f>
        <v>0</v>
      </c>
      <c r="H39" s="307">
        <f t="shared" si="6"/>
        <v>0</v>
      </c>
      <c r="I39" s="307">
        <f t="shared" si="6"/>
        <v>0</v>
      </c>
      <c r="J39" s="307">
        <f t="shared" si="6"/>
        <v>0</v>
      </c>
      <c r="K39" s="307">
        <f t="shared" ref="K39" si="7">SUM(K40:K42)</f>
        <v>0</v>
      </c>
      <c r="L39" s="307">
        <f>SUM(L40:L42)</f>
        <v>0</v>
      </c>
      <c r="M39" s="300">
        <f>SUM(G39:L39)</f>
        <v>0</v>
      </c>
      <c r="N39" s="308"/>
    </row>
    <row r="40" spans="1:15" ht="16.5">
      <c r="A40" s="329" t="s">
        <v>286</v>
      </c>
      <c r="B40" s="330"/>
      <c r="C40" s="309"/>
      <c r="D40" s="309"/>
      <c r="E40" s="309"/>
      <c r="F40" s="310"/>
      <c r="G40" s="304"/>
      <c r="H40" s="304"/>
      <c r="I40" s="304"/>
      <c r="J40" s="304"/>
      <c r="K40" s="304"/>
      <c r="L40" s="304"/>
      <c r="N40" s="311"/>
    </row>
    <row r="41" spans="1:15" ht="16.5">
      <c r="A41" s="329" t="s">
        <v>251</v>
      </c>
      <c r="B41" s="330"/>
      <c r="C41" s="309"/>
      <c r="D41" s="309"/>
      <c r="E41" s="309"/>
      <c r="F41" s="310"/>
      <c r="G41" s="304"/>
      <c r="H41" s="304"/>
      <c r="I41" s="304"/>
      <c r="J41" s="304"/>
      <c r="K41" s="304"/>
      <c r="L41" s="304"/>
      <c r="N41" s="311"/>
    </row>
    <row r="42" spans="1:15" ht="16.5">
      <c r="A42" s="329" t="s">
        <v>252</v>
      </c>
      <c r="B42" s="330"/>
      <c r="C42" s="309"/>
      <c r="D42" s="309"/>
      <c r="E42" s="309"/>
      <c r="F42" s="310"/>
      <c r="G42" s="304"/>
      <c r="H42" s="304"/>
      <c r="I42" s="304"/>
      <c r="J42" s="304"/>
      <c r="K42" s="304"/>
      <c r="L42" s="304"/>
      <c r="N42" s="311"/>
    </row>
    <row r="43" spans="1:15" ht="16.5">
      <c r="A43" s="777" t="s">
        <v>288</v>
      </c>
      <c r="B43" s="778"/>
      <c r="C43" s="298"/>
      <c r="D43" s="298"/>
      <c r="E43" s="298"/>
      <c r="F43" s="296"/>
      <c r="G43" s="312">
        <f>G8+G10+G14-G35-G39</f>
        <v>0</v>
      </c>
      <c r="H43" s="312">
        <f t="shared" ref="H43:L43" si="8">H8+H10+H14-H35-H39</f>
        <v>5357699</v>
      </c>
      <c r="I43" s="312">
        <f t="shared" si="8"/>
        <v>1069891</v>
      </c>
      <c r="J43" s="312">
        <f t="shared" si="8"/>
        <v>993847</v>
      </c>
      <c r="K43" s="312">
        <f t="shared" ref="K43" si="9">K8+K10+K14-K35-K39</f>
        <v>0</v>
      </c>
      <c r="L43" s="312">
        <f t="shared" si="8"/>
        <v>0</v>
      </c>
      <c r="M43" s="300">
        <f>SUM(G43:L43)</f>
        <v>7421437</v>
      </c>
      <c r="N43" s="313"/>
      <c r="O43" s="314"/>
    </row>
    <row r="44" spans="1:15" ht="16.5">
      <c r="A44" s="564"/>
      <c r="B44" s="565" t="s">
        <v>460</v>
      </c>
      <c r="C44" s="298"/>
      <c r="D44" s="298"/>
      <c r="E44" s="298"/>
      <c r="F44" s="296"/>
      <c r="G44" s="563">
        <f>G9</f>
        <v>0</v>
      </c>
      <c r="H44" s="563">
        <f t="shared" ref="H44:L44" si="10">H9</f>
        <v>0</v>
      </c>
      <c r="I44" s="563">
        <f t="shared" si="10"/>
        <v>0</v>
      </c>
      <c r="J44" s="563">
        <f t="shared" si="10"/>
        <v>1900000</v>
      </c>
      <c r="K44" s="563">
        <f t="shared" ref="K44" si="11">K9</f>
        <v>0</v>
      </c>
      <c r="L44" s="563">
        <f t="shared" si="10"/>
        <v>0</v>
      </c>
      <c r="M44" s="300">
        <f>SUM(G44:L44)</f>
        <v>1900000</v>
      </c>
      <c r="N44" s="313"/>
      <c r="O44" s="314"/>
    </row>
    <row r="45" spans="1:15" ht="21">
      <c r="A45" s="777" t="s">
        <v>289</v>
      </c>
      <c r="B45" s="778"/>
      <c r="C45" s="298"/>
      <c r="D45" s="298"/>
      <c r="E45" s="298"/>
      <c r="F45" s="296"/>
      <c r="G45" s="782">
        <f>SUM(G43:L44)</f>
        <v>9321437</v>
      </c>
      <c r="H45" s="783"/>
      <c r="I45" s="783"/>
      <c r="J45" s="783"/>
      <c r="K45" s="783"/>
      <c r="L45" s="784"/>
      <c r="M45" s="300">
        <f>SUM(G45:L45)</f>
        <v>9321437</v>
      </c>
      <c r="N45" s="313"/>
      <c r="O45" s="314"/>
    </row>
    <row r="46" spans="1:15" ht="16.5">
      <c r="B46" s="315"/>
      <c r="C46" s="291"/>
      <c r="D46" s="291"/>
      <c r="E46" s="291"/>
      <c r="F46" s="291"/>
      <c r="G46" s="292"/>
      <c r="H46" s="292"/>
      <c r="I46" s="292"/>
      <c r="J46" s="292"/>
      <c r="K46" s="292"/>
      <c r="L46" s="292"/>
      <c r="N46" s="316"/>
      <c r="O46" s="317"/>
    </row>
    <row r="47" spans="1:15" ht="16.5">
      <c r="B47" s="315" t="s">
        <v>271</v>
      </c>
      <c r="C47" s="785" t="s">
        <v>272</v>
      </c>
      <c r="D47" s="785"/>
      <c r="E47" s="785"/>
      <c r="F47" s="785"/>
      <c r="G47" s="318"/>
      <c r="H47" s="318" t="s">
        <v>273</v>
      </c>
      <c r="I47" s="318"/>
      <c r="J47" s="318"/>
      <c r="K47" s="318"/>
      <c r="L47" s="292"/>
      <c r="N47" s="319"/>
      <c r="O47" s="317"/>
    </row>
    <row r="48" spans="1:15" ht="16.5">
      <c r="B48" s="315"/>
      <c r="C48" s="320"/>
      <c r="D48" s="320"/>
      <c r="E48" s="320"/>
      <c r="F48" s="594" t="s">
        <v>782</v>
      </c>
      <c r="G48" s="289">
        <v>0</v>
      </c>
      <c r="H48" s="289">
        <v>5357699</v>
      </c>
      <c r="I48" s="289">
        <v>1069891</v>
      </c>
      <c r="J48" s="289">
        <v>993847</v>
      </c>
      <c r="K48" s="289">
        <v>0</v>
      </c>
      <c r="L48" s="289">
        <v>0</v>
      </c>
      <c r="N48" s="319"/>
      <c r="O48" s="317"/>
    </row>
    <row r="49" spans="6:16" ht="16.5">
      <c r="G49" s="324">
        <f>G43-G48</f>
        <v>0</v>
      </c>
      <c r="H49" s="324">
        <f t="shared" ref="H49:L49" si="12">H43-H48</f>
        <v>0</v>
      </c>
      <c r="I49" s="324">
        <f t="shared" si="12"/>
        <v>0</v>
      </c>
      <c r="J49" s="324"/>
      <c r="K49" s="324">
        <f t="shared" ref="K49" si="13">K43-K48</f>
        <v>0</v>
      </c>
      <c r="L49" s="324">
        <f t="shared" si="12"/>
        <v>0</v>
      </c>
      <c r="N49" s="322"/>
      <c r="O49" s="323"/>
      <c r="P49" s="323"/>
    </row>
    <row r="50" spans="6:16" ht="16.5">
      <c r="F50" s="594"/>
      <c r="N50" s="323"/>
      <c r="O50" s="323"/>
      <c r="P50" s="323"/>
    </row>
  </sheetData>
  <mergeCells count="19">
    <mergeCell ref="A39:B39"/>
    <mergeCell ref="A43:B43"/>
    <mergeCell ref="A45:B45"/>
    <mergeCell ref="G45:L45"/>
    <mergeCell ref="C47:F47"/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</mergeCells>
  <phoneticPr fontId="10" type="noConversion"/>
  <conditionalFormatting sqref="C8:E9">
    <cfRule type="expression" dxfId="6" priority="4" stopIfTrue="1">
      <formula>AND($O8&gt;0,$O8=$P8)</formula>
    </cfRule>
  </conditionalFormatting>
  <conditionalFormatting sqref="C15:E38">
    <cfRule type="expression" dxfId="5" priority="5" stopIfTrue="1">
      <formula>AND($N15&gt;0,$N15=$O15)</formula>
    </cfRule>
  </conditionalFormatting>
  <conditionalFormatting sqref="C39:E42">
    <cfRule type="expression" dxfId="4" priority="3" stopIfTrue="1">
      <formula>AND($N39&gt;0,$N39=$O39)</formula>
    </cfRule>
  </conditionalFormatting>
  <conditionalFormatting sqref="L8:L9 G8:J9">
    <cfRule type="expression" dxfId="3" priority="6" stopIfTrue="1">
      <formula>LEN(#REF!)&gt;7</formula>
    </cfRule>
    <cfRule type="expression" dxfId="2" priority="7" stopIfTrue="1">
      <formula>#REF!&lt;&gt;0</formula>
    </cfRule>
  </conditionalFormatting>
  <conditionalFormatting sqref="K8:K9">
    <cfRule type="expression" dxfId="1" priority="1" stopIfTrue="1">
      <formula>LEN(#REF!)&gt;7</formula>
    </cfRule>
    <cfRule type="expression" dxfId="0" priority="2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0000"/>
  </sheetPr>
  <dimension ref="A1:W41"/>
  <sheetViews>
    <sheetView showGridLines="0" showZeros="0" showOutlineSymbols="0" view="pageBreakPreview" zoomScaleSheetLayoutView="100" workbookViewId="0">
      <selection activeCell="D36" sqref="D36"/>
    </sheetView>
  </sheetViews>
  <sheetFormatPr defaultColWidth="6.85546875" defaultRowHeight="14.25"/>
  <cols>
    <col min="1" max="1" width="1.85546875" style="85" customWidth="1"/>
    <col min="2" max="2" width="14.7109375" style="85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5.42578125" style="3" customWidth="1"/>
    <col min="15" max="15" width="0.7109375" style="3" customWidth="1"/>
    <col min="16" max="16" width="1.42578125" style="3" hidden="1" customWidth="1"/>
    <col min="17" max="17" width="3.140625" style="3" hidden="1" customWidth="1"/>
    <col min="18" max="18" width="9.28515625" style="3" customWidth="1"/>
    <col min="19" max="19" width="4" style="3" customWidth="1"/>
    <col min="20" max="20" width="1.5703125" style="3" customWidth="1"/>
    <col min="21" max="21" width="6.7109375" style="3" customWidth="1"/>
    <col min="22" max="22" width="7.5703125" style="3" customWidth="1"/>
    <col min="23" max="23" width="3.7109375" style="3" customWidth="1"/>
    <col min="24" max="16384" width="6.85546875" style="3"/>
  </cols>
  <sheetData>
    <row r="1" spans="1:23" ht="19.5">
      <c r="A1" s="691" t="str">
        <f>封面!$A$4</f>
        <v>彰化縣地方教育發展基金－彰化縣秀水鄉馬興國民小學</v>
      </c>
      <c r="B1" s="691"/>
      <c r="C1" s="691"/>
      <c r="D1" s="691"/>
      <c r="E1" s="691"/>
      <c r="F1" s="691"/>
      <c r="G1" s="691"/>
      <c r="H1" s="691"/>
      <c r="I1" s="691"/>
      <c r="J1" s="691"/>
      <c r="K1" s="691"/>
      <c r="L1" s="691"/>
      <c r="M1" s="691"/>
      <c r="N1" s="691"/>
      <c r="O1" s="691"/>
      <c r="P1" s="691"/>
      <c r="Q1" s="691"/>
      <c r="R1" s="691"/>
      <c r="S1" s="691"/>
      <c r="T1" s="691"/>
      <c r="U1" s="691"/>
      <c r="V1" s="690"/>
      <c r="W1" s="690"/>
    </row>
    <row r="2" spans="1:23" ht="19.5" hidden="1">
      <c r="A2" s="82"/>
      <c r="B2" s="8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819"/>
      <c r="T3" s="819"/>
      <c r="U3" s="819"/>
      <c r="V3" s="819"/>
      <c r="W3" s="819"/>
    </row>
    <row r="4" spans="1:23" ht="19.5">
      <c r="A4" s="691" t="s">
        <v>55</v>
      </c>
      <c r="B4" s="691"/>
      <c r="C4" s="691"/>
      <c r="D4" s="691"/>
      <c r="E4" s="691"/>
      <c r="F4" s="691"/>
      <c r="G4" s="691"/>
      <c r="H4" s="691"/>
      <c r="I4" s="691"/>
      <c r="J4" s="691"/>
      <c r="K4" s="691"/>
      <c r="L4" s="691"/>
      <c r="M4" s="691"/>
      <c r="N4" s="691"/>
      <c r="O4" s="691"/>
      <c r="P4" s="691"/>
      <c r="Q4" s="691"/>
      <c r="R4" s="691"/>
      <c r="S4" s="691"/>
      <c r="T4" s="691"/>
      <c r="U4" s="691"/>
      <c r="V4" s="691"/>
      <c r="W4" s="691"/>
    </row>
    <row r="5" spans="1:23" ht="19.5" customHeight="1">
      <c r="A5" s="692" t="str">
        <f>封面!$E$10&amp;封面!$H$10&amp;封面!$I$10&amp;封面!$J$10&amp;封面!$K$10&amp;封面!L10</f>
        <v>中華民國111年12月份</v>
      </c>
      <c r="B5" s="692"/>
      <c r="C5" s="692"/>
      <c r="D5" s="692"/>
      <c r="E5" s="692"/>
      <c r="F5" s="692"/>
      <c r="G5" s="692"/>
      <c r="H5" s="692"/>
      <c r="I5" s="692"/>
      <c r="J5" s="692"/>
      <c r="K5" s="692"/>
      <c r="L5" s="692"/>
      <c r="M5" s="692"/>
      <c r="N5" s="692"/>
      <c r="O5" s="692"/>
      <c r="P5" s="692"/>
      <c r="Q5" s="692"/>
      <c r="R5" s="692"/>
      <c r="S5" s="692"/>
      <c r="T5" s="692"/>
      <c r="U5" s="692"/>
      <c r="V5" s="692"/>
      <c r="W5" s="692"/>
    </row>
    <row r="6" spans="1:23" ht="12.75" hidden="1">
      <c r="A6" s="692"/>
      <c r="B6" s="692"/>
      <c r="C6" s="692"/>
      <c r="D6" s="692"/>
      <c r="E6" s="692"/>
      <c r="F6" s="692"/>
      <c r="G6" s="692"/>
      <c r="H6" s="692"/>
      <c r="I6" s="692"/>
      <c r="J6" s="692"/>
      <c r="K6" s="692"/>
      <c r="L6" s="692"/>
      <c r="M6" s="692"/>
      <c r="N6" s="692"/>
      <c r="O6" s="692"/>
      <c r="P6" s="692"/>
      <c r="Q6" s="692"/>
      <c r="R6" s="692"/>
      <c r="S6" s="692"/>
      <c r="T6" s="692"/>
      <c r="U6" s="692"/>
      <c r="V6" s="692"/>
      <c r="W6" s="692"/>
    </row>
    <row r="7" spans="1:23" s="9" customFormat="1" ht="16.5">
      <c r="A7" s="820" t="s">
        <v>1</v>
      </c>
      <c r="B7" s="820"/>
      <c r="C7" s="820"/>
      <c r="D7" s="820"/>
      <c r="E7" s="820"/>
      <c r="F7" s="820"/>
      <c r="G7" s="820"/>
      <c r="H7" s="820"/>
      <c r="I7" s="820"/>
      <c r="J7" s="820"/>
      <c r="K7" s="820"/>
      <c r="L7" s="820"/>
      <c r="M7" s="820"/>
      <c r="N7" s="820"/>
      <c r="O7" s="820"/>
      <c r="P7" s="820"/>
      <c r="Q7" s="820"/>
      <c r="R7" s="820"/>
      <c r="S7" s="820"/>
      <c r="T7" s="820"/>
      <c r="U7" s="820"/>
      <c r="V7" s="820"/>
      <c r="W7" s="820"/>
    </row>
    <row r="8" spans="1:23" s="15" customFormat="1" hidden="1">
      <c r="A8" s="98"/>
      <c r="B8" s="98"/>
    </row>
    <row r="9" spans="1:23" s="15" customFormat="1" hidden="1">
      <c r="A9" s="98"/>
      <c r="B9" s="98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799" t="s">
        <v>62</v>
      </c>
      <c r="B10" s="800"/>
      <c r="C10" s="799" t="s">
        <v>57</v>
      </c>
      <c r="D10" s="805"/>
      <c r="E10" s="805"/>
      <c r="F10" s="805"/>
      <c r="G10" s="806"/>
      <c r="H10" s="815" t="s">
        <v>58</v>
      </c>
      <c r="I10" s="798" t="s">
        <v>56</v>
      </c>
      <c r="J10" s="742"/>
      <c r="K10" s="742"/>
      <c r="L10" s="742"/>
      <c r="M10" s="742"/>
      <c r="N10" s="742"/>
      <c r="O10" s="742"/>
      <c r="P10" s="798" t="s">
        <v>60</v>
      </c>
      <c r="Q10" s="742"/>
      <c r="R10" s="742"/>
      <c r="S10" s="742"/>
      <c r="T10" s="742"/>
      <c r="U10" s="799" t="s">
        <v>61</v>
      </c>
      <c r="V10" s="805"/>
      <c r="W10" s="806"/>
    </row>
    <row r="11" spans="1:23" s="21" customFormat="1" ht="12.75" hidden="1" customHeight="1">
      <c r="A11" s="801"/>
      <c r="B11" s="802"/>
      <c r="C11" s="807"/>
      <c r="D11" s="808"/>
      <c r="E11" s="808"/>
      <c r="F11" s="808"/>
      <c r="G11" s="809"/>
      <c r="H11" s="744"/>
      <c r="I11" s="742"/>
      <c r="J11" s="742"/>
      <c r="K11" s="742"/>
      <c r="L11" s="742"/>
      <c r="M11" s="742"/>
      <c r="N11" s="742"/>
      <c r="O11" s="742"/>
      <c r="P11" s="742"/>
      <c r="Q11" s="742"/>
      <c r="R11" s="742"/>
      <c r="S11" s="742"/>
      <c r="T11" s="742"/>
      <c r="U11" s="807"/>
      <c r="V11" s="808"/>
      <c r="W11" s="809"/>
    </row>
    <row r="12" spans="1:23" s="22" customFormat="1" ht="12.75" customHeight="1">
      <c r="A12" s="801"/>
      <c r="B12" s="802"/>
      <c r="C12" s="807"/>
      <c r="D12" s="808"/>
      <c r="E12" s="808"/>
      <c r="F12" s="808"/>
      <c r="G12" s="809"/>
      <c r="H12" s="744"/>
      <c r="I12" s="742"/>
      <c r="J12" s="742"/>
      <c r="K12" s="742"/>
      <c r="L12" s="742"/>
      <c r="M12" s="742"/>
      <c r="N12" s="742"/>
      <c r="O12" s="742"/>
      <c r="P12" s="742"/>
      <c r="Q12" s="742"/>
      <c r="R12" s="742"/>
      <c r="S12" s="742"/>
      <c r="T12" s="742"/>
      <c r="U12" s="807"/>
      <c r="V12" s="808"/>
      <c r="W12" s="809"/>
    </row>
    <row r="13" spans="1:23" s="5" customFormat="1" ht="12.75" hidden="1" customHeight="1">
      <c r="A13" s="801"/>
      <c r="B13" s="802"/>
      <c r="C13" s="810"/>
      <c r="D13" s="811"/>
      <c r="E13" s="811"/>
      <c r="F13" s="808"/>
      <c r="G13" s="809"/>
      <c r="H13" s="744"/>
      <c r="I13" s="742"/>
      <c r="J13" s="742"/>
      <c r="K13" s="742"/>
      <c r="L13" s="742"/>
      <c r="M13" s="742"/>
      <c r="N13" s="742"/>
      <c r="O13" s="742"/>
      <c r="P13" s="742"/>
      <c r="Q13" s="742"/>
      <c r="R13" s="742"/>
      <c r="S13" s="742"/>
      <c r="T13" s="742"/>
      <c r="U13" s="807"/>
      <c r="V13" s="808"/>
      <c r="W13" s="809"/>
    </row>
    <row r="14" spans="1:23" s="5" customFormat="1" ht="12.75" customHeight="1">
      <c r="A14" s="801"/>
      <c r="B14" s="802"/>
      <c r="C14" s="812"/>
      <c r="D14" s="813"/>
      <c r="E14" s="813"/>
      <c r="F14" s="814"/>
      <c r="G14" s="696"/>
      <c r="H14" s="744"/>
      <c r="I14" s="742"/>
      <c r="J14" s="742"/>
      <c r="K14" s="742"/>
      <c r="L14" s="742"/>
      <c r="M14" s="742"/>
      <c r="N14" s="742"/>
      <c r="O14" s="742"/>
      <c r="P14" s="742"/>
      <c r="Q14" s="742"/>
      <c r="R14" s="742"/>
      <c r="S14" s="742"/>
      <c r="T14" s="742"/>
      <c r="U14" s="807"/>
      <c r="V14" s="808"/>
      <c r="W14" s="809"/>
    </row>
    <row r="15" spans="1:23" s="5" customFormat="1" ht="12.75" customHeight="1">
      <c r="A15" s="801"/>
      <c r="B15" s="802"/>
      <c r="C15" s="816" t="s">
        <v>324</v>
      </c>
      <c r="D15" s="816" t="s">
        <v>325</v>
      </c>
      <c r="E15" s="816" t="s">
        <v>326</v>
      </c>
      <c r="F15" s="815" t="s">
        <v>63</v>
      </c>
      <c r="G15" s="815" t="s">
        <v>64</v>
      </c>
      <c r="H15" s="744"/>
      <c r="I15" s="798" t="s">
        <v>59</v>
      </c>
      <c r="J15" s="742"/>
      <c r="K15" s="742"/>
      <c r="L15" s="742"/>
      <c r="M15" s="798" t="s">
        <v>12</v>
      </c>
      <c r="N15" s="742"/>
      <c r="O15" s="742"/>
      <c r="P15" s="742"/>
      <c r="Q15" s="742"/>
      <c r="R15" s="742"/>
      <c r="S15" s="742"/>
      <c r="T15" s="742"/>
      <c r="U15" s="807"/>
      <c r="V15" s="808"/>
      <c r="W15" s="809"/>
    </row>
    <row r="16" spans="1:23" s="5" customFormat="1" ht="12.75" customHeight="1">
      <c r="A16" s="801"/>
      <c r="B16" s="802"/>
      <c r="C16" s="817"/>
      <c r="D16" s="817"/>
      <c r="E16" s="817"/>
      <c r="F16" s="817"/>
      <c r="G16" s="744"/>
      <c r="H16" s="744"/>
      <c r="I16" s="742"/>
      <c r="J16" s="742"/>
      <c r="K16" s="742"/>
      <c r="L16" s="742"/>
      <c r="M16" s="742"/>
      <c r="N16" s="742"/>
      <c r="O16" s="742"/>
      <c r="P16" s="742"/>
      <c r="Q16" s="742"/>
      <c r="R16" s="742"/>
      <c r="S16" s="742"/>
      <c r="T16" s="742"/>
      <c r="U16" s="807"/>
      <c r="V16" s="808"/>
      <c r="W16" s="809"/>
    </row>
    <row r="17" spans="1:23" s="5" customFormat="1" ht="12.75" customHeight="1">
      <c r="A17" s="801"/>
      <c r="B17" s="802"/>
      <c r="C17" s="817"/>
      <c r="D17" s="817"/>
      <c r="E17" s="817"/>
      <c r="F17" s="817"/>
      <c r="G17" s="744"/>
      <c r="H17" s="744"/>
      <c r="I17" s="798" t="s">
        <v>66</v>
      </c>
      <c r="J17" s="822" t="s">
        <v>65</v>
      </c>
      <c r="K17" s="798" t="s">
        <v>67</v>
      </c>
      <c r="L17" s="818" t="s">
        <v>68</v>
      </c>
      <c r="M17" s="798" t="s">
        <v>4</v>
      </c>
      <c r="N17" s="818" t="s">
        <v>68</v>
      </c>
      <c r="O17" s="742"/>
      <c r="P17" s="742"/>
      <c r="Q17" s="742"/>
      <c r="R17" s="742"/>
      <c r="S17" s="742"/>
      <c r="T17" s="742"/>
      <c r="U17" s="807"/>
      <c r="V17" s="808"/>
      <c r="W17" s="809"/>
    </row>
    <row r="18" spans="1:23" s="5" customFormat="1" ht="12.75" customHeight="1">
      <c r="A18" s="801"/>
      <c r="B18" s="802"/>
      <c r="C18" s="817"/>
      <c r="D18" s="817"/>
      <c r="E18" s="817"/>
      <c r="F18" s="817"/>
      <c r="G18" s="744"/>
      <c r="H18" s="744"/>
      <c r="I18" s="742"/>
      <c r="J18" s="822"/>
      <c r="K18" s="742"/>
      <c r="L18" s="742"/>
      <c r="M18" s="742"/>
      <c r="N18" s="742"/>
      <c r="O18" s="742"/>
      <c r="P18" s="742"/>
      <c r="Q18" s="742"/>
      <c r="R18" s="742"/>
      <c r="S18" s="742"/>
      <c r="T18" s="742"/>
      <c r="U18" s="807"/>
      <c r="V18" s="808"/>
      <c r="W18" s="809"/>
    </row>
    <row r="19" spans="1:23" s="5" customFormat="1" ht="12.75" hidden="1" customHeight="1">
      <c r="A19" s="801"/>
      <c r="B19" s="802"/>
      <c r="C19" s="432"/>
      <c r="D19" s="432"/>
      <c r="E19" s="432"/>
      <c r="F19" s="342"/>
      <c r="G19" s="744"/>
      <c r="H19" s="744"/>
      <c r="I19" s="742"/>
      <c r="J19" s="822"/>
      <c r="K19" s="742"/>
      <c r="L19" s="742"/>
      <c r="M19" s="742"/>
      <c r="N19" s="742"/>
      <c r="O19" s="742"/>
      <c r="P19" s="742"/>
      <c r="Q19" s="742"/>
      <c r="R19" s="742"/>
      <c r="S19" s="742"/>
      <c r="T19" s="742"/>
      <c r="U19" s="807"/>
      <c r="V19" s="808"/>
      <c r="W19" s="809"/>
    </row>
    <row r="20" spans="1:23" s="5" customFormat="1" ht="12.75" hidden="1" customHeight="1">
      <c r="A20" s="803"/>
      <c r="B20" s="804"/>
      <c r="C20" s="433"/>
      <c r="D20" s="433"/>
      <c r="E20" s="433"/>
      <c r="F20" s="339"/>
      <c r="G20" s="697"/>
      <c r="H20" s="697"/>
      <c r="I20" s="742"/>
      <c r="J20" s="822"/>
      <c r="K20" s="742"/>
      <c r="L20" s="742"/>
      <c r="M20" s="742"/>
      <c r="N20" s="742"/>
      <c r="O20" s="742"/>
      <c r="P20" s="742"/>
      <c r="Q20" s="742"/>
      <c r="R20" s="742"/>
      <c r="S20" s="742"/>
      <c r="T20" s="742"/>
      <c r="U20" s="821"/>
      <c r="V20" s="814"/>
      <c r="W20" s="696"/>
    </row>
    <row r="21" spans="1:23" ht="14.25" customHeight="1">
      <c r="A21" s="99" t="s">
        <v>44</v>
      </c>
      <c r="B21" s="100"/>
      <c r="C21" s="406">
        <f>SUM(C22:C23)</f>
        <v>0</v>
      </c>
      <c r="D21" s="406">
        <f t="shared" ref="D21:J21" si="0">SUM(D22:D23)</f>
        <v>0</v>
      </c>
      <c r="E21" s="406">
        <f t="shared" si="0"/>
        <v>0</v>
      </c>
      <c r="F21" s="407">
        <f t="shared" si="0"/>
        <v>0</v>
      </c>
      <c r="G21" s="407">
        <f>SUM(C21:F21)</f>
        <v>0</v>
      </c>
      <c r="H21" s="407">
        <f t="shared" si="0"/>
        <v>0</v>
      </c>
      <c r="I21" s="407">
        <f t="shared" si="0"/>
        <v>0</v>
      </c>
      <c r="J21" s="407">
        <f t="shared" si="0"/>
        <v>0</v>
      </c>
      <c r="K21" s="407">
        <f>SUM(I21:J21)</f>
        <v>0</v>
      </c>
      <c r="L21" s="408">
        <f>IF(K21=0,0,K21/H21)</f>
        <v>0</v>
      </c>
      <c r="M21" s="407">
        <f>H21-K21</f>
        <v>0</v>
      </c>
      <c r="N21" s="409">
        <f>IF(M21=0,0,M21/H21)</f>
        <v>0</v>
      </c>
      <c r="O21" s="410"/>
      <c r="P21" s="411"/>
      <c r="Q21" s="412"/>
      <c r="R21" s="794"/>
      <c r="S21" s="795"/>
      <c r="T21" s="796"/>
      <c r="U21" s="797"/>
      <c r="V21" s="795"/>
      <c r="W21" s="796"/>
    </row>
    <row r="22" spans="1:23">
      <c r="A22" s="101"/>
      <c r="B22" s="102" t="s">
        <v>44</v>
      </c>
      <c r="C22" s="413"/>
      <c r="D22" s="413"/>
      <c r="E22" s="413"/>
      <c r="F22" s="414"/>
      <c r="G22" s="414">
        <f t="shared" ref="G22:G40" si="1">SUM(C22:F22)</f>
        <v>0</v>
      </c>
      <c r="H22" s="414"/>
      <c r="I22" s="414"/>
      <c r="J22" s="414"/>
      <c r="K22" s="414">
        <f t="shared" ref="K22:K40" si="2">SUM(I22:J22)</f>
        <v>0</v>
      </c>
      <c r="L22" s="415">
        <f t="shared" ref="L22:L40" si="3">IF(K22=0,0,K22/H22)</f>
        <v>0</v>
      </c>
      <c r="M22" s="414">
        <f t="shared" ref="M22:M40" si="4">H22-K22</f>
        <v>0</v>
      </c>
      <c r="N22" s="416">
        <f t="shared" ref="N22:N40" si="5">IF(M22=0,0,M22/H22)</f>
        <v>0</v>
      </c>
      <c r="O22" s="417"/>
      <c r="P22" s="418"/>
      <c r="Q22" s="419"/>
      <c r="R22" s="786"/>
      <c r="S22" s="787"/>
      <c r="T22" s="788"/>
      <c r="U22" s="789"/>
      <c r="V22" s="787"/>
      <c r="W22" s="788"/>
    </row>
    <row r="23" spans="1:23">
      <c r="A23" s="101"/>
      <c r="B23" s="102" t="s">
        <v>49</v>
      </c>
      <c r="C23" s="414"/>
      <c r="D23" s="414"/>
      <c r="E23" s="414"/>
      <c r="F23" s="414"/>
      <c r="G23" s="414">
        <f t="shared" si="1"/>
        <v>0</v>
      </c>
      <c r="H23" s="414"/>
      <c r="I23" s="414"/>
      <c r="J23" s="414"/>
      <c r="K23" s="414">
        <f t="shared" si="2"/>
        <v>0</v>
      </c>
      <c r="L23" s="415">
        <f t="shared" si="3"/>
        <v>0</v>
      </c>
      <c r="M23" s="414">
        <f t="shared" si="4"/>
        <v>0</v>
      </c>
      <c r="N23" s="416">
        <f t="shared" si="5"/>
        <v>0</v>
      </c>
      <c r="O23" s="417"/>
      <c r="P23" s="418"/>
      <c r="Q23" s="419"/>
      <c r="R23" s="786"/>
      <c r="S23" s="787"/>
      <c r="T23" s="788"/>
      <c r="U23" s="789"/>
      <c r="V23" s="787"/>
      <c r="W23" s="788"/>
    </row>
    <row r="24" spans="1:23" ht="14.25" customHeight="1">
      <c r="A24" s="103" t="s">
        <v>45</v>
      </c>
      <c r="B24" s="102"/>
      <c r="C24" s="414">
        <f>SUM(C25:C26)</f>
        <v>0</v>
      </c>
      <c r="D24" s="414">
        <f t="shared" ref="D24" si="6">SUM(D25:D26)</f>
        <v>0</v>
      </c>
      <c r="E24" s="414">
        <f t="shared" ref="E24" si="7">SUM(E25:E26)</f>
        <v>0</v>
      </c>
      <c r="F24" s="414">
        <f t="shared" ref="F24" si="8">SUM(F25:F26)</f>
        <v>0</v>
      </c>
      <c r="G24" s="414">
        <f t="shared" si="1"/>
        <v>0</v>
      </c>
      <c r="H24" s="414">
        <f t="shared" ref="H24" si="9">SUM(H25:H26)</f>
        <v>0</v>
      </c>
      <c r="I24" s="414">
        <f t="shared" ref="I24" si="10">SUM(I25:I26)</f>
        <v>0</v>
      </c>
      <c r="J24" s="414">
        <f t="shared" ref="J24" si="11">SUM(J25:J26)</f>
        <v>0</v>
      </c>
      <c r="K24" s="414">
        <f t="shared" si="2"/>
        <v>0</v>
      </c>
      <c r="L24" s="415">
        <f>IF(K24=0,0,K24/H24)</f>
        <v>0</v>
      </c>
      <c r="M24" s="414">
        <f t="shared" si="4"/>
        <v>0</v>
      </c>
      <c r="N24" s="416">
        <f>IF(M24=0,0,M24/H24)</f>
        <v>0</v>
      </c>
      <c r="O24" s="417"/>
      <c r="P24" s="418"/>
      <c r="Q24" s="419"/>
      <c r="R24" s="786"/>
      <c r="S24" s="787"/>
      <c r="T24" s="788"/>
      <c r="U24" s="789"/>
      <c r="V24" s="787"/>
      <c r="W24" s="788"/>
    </row>
    <row r="25" spans="1:23">
      <c r="A25" s="101"/>
      <c r="B25" s="102" t="s">
        <v>45</v>
      </c>
      <c r="C25" s="414"/>
      <c r="D25" s="414"/>
      <c r="E25" s="414"/>
      <c r="F25" s="414"/>
      <c r="G25" s="414">
        <f t="shared" si="1"/>
        <v>0</v>
      </c>
      <c r="H25" s="414"/>
      <c r="I25" s="414"/>
      <c r="J25" s="414"/>
      <c r="K25" s="414">
        <f t="shared" si="2"/>
        <v>0</v>
      </c>
      <c r="L25" s="415">
        <f t="shared" si="3"/>
        <v>0</v>
      </c>
      <c r="M25" s="414">
        <f t="shared" si="4"/>
        <v>0</v>
      </c>
      <c r="N25" s="416">
        <f t="shared" si="5"/>
        <v>0</v>
      </c>
      <c r="O25" s="417"/>
      <c r="P25" s="418"/>
      <c r="Q25" s="419"/>
      <c r="R25" s="786"/>
      <c r="S25" s="787"/>
      <c r="T25" s="788"/>
      <c r="U25" s="789"/>
      <c r="V25" s="787"/>
      <c r="W25" s="788"/>
    </row>
    <row r="26" spans="1:23">
      <c r="A26" s="101"/>
      <c r="B26" s="102" t="s">
        <v>49</v>
      </c>
      <c r="C26" s="414"/>
      <c r="D26" s="414"/>
      <c r="E26" s="414"/>
      <c r="F26" s="414"/>
      <c r="G26" s="414">
        <f t="shared" si="1"/>
        <v>0</v>
      </c>
      <c r="H26" s="414"/>
      <c r="I26" s="414"/>
      <c r="J26" s="414"/>
      <c r="K26" s="414">
        <f t="shared" si="2"/>
        <v>0</v>
      </c>
      <c r="L26" s="415">
        <f t="shared" si="3"/>
        <v>0</v>
      </c>
      <c r="M26" s="414">
        <f t="shared" si="4"/>
        <v>0</v>
      </c>
      <c r="N26" s="416">
        <f t="shared" si="5"/>
        <v>0</v>
      </c>
      <c r="O26" s="417"/>
      <c r="P26" s="418"/>
      <c r="Q26" s="419"/>
      <c r="R26" s="786"/>
      <c r="S26" s="787"/>
      <c r="T26" s="788"/>
      <c r="U26" s="789"/>
      <c r="V26" s="787"/>
      <c r="W26" s="788"/>
    </row>
    <row r="27" spans="1:23" ht="14.25" customHeight="1">
      <c r="A27" s="103" t="s">
        <v>46</v>
      </c>
      <c r="B27" s="102"/>
      <c r="C27" s="414">
        <f>SUM(C28:C29)</f>
        <v>0</v>
      </c>
      <c r="D27" s="414">
        <f t="shared" ref="D27" si="12">SUM(D28:D29)</f>
        <v>0</v>
      </c>
      <c r="E27" s="414">
        <f t="shared" ref="E27" si="13">SUM(E28:E29)</f>
        <v>0</v>
      </c>
      <c r="F27" s="414">
        <f t="shared" ref="F27" si="14">SUM(F28:F29)</f>
        <v>0</v>
      </c>
      <c r="G27" s="414">
        <f t="shared" si="1"/>
        <v>0</v>
      </c>
      <c r="H27" s="414">
        <f t="shared" ref="H27" si="15">SUM(H28:H29)</f>
        <v>0</v>
      </c>
      <c r="I27" s="414">
        <f t="shared" ref="I27" si="16">SUM(I28:I29)</f>
        <v>0</v>
      </c>
      <c r="J27" s="414">
        <f t="shared" ref="J27" si="17">SUM(J28:J29)</f>
        <v>0</v>
      </c>
      <c r="K27" s="414">
        <f t="shared" si="2"/>
        <v>0</v>
      </c>
      <c r="L27" s="415">
        <f>IF(K27=0,0,K27/H27)</f>
        <v>0</v>
      </c>
      <c r="M27" s="414">
        <f t="shared" si="4"/>
        <v>0</v>
      </c>
      <c r="N27" s="416">
        <f>IF(M27=0,0,M27/H27)</f>
        <v>0</v>
      </c>
      <c r="O27" s="417"/>
      <c r="P27" s="418"/>
      <c r="Q27" s="419"/>
      <c r="R27" s="786"/>
      <c r="S27" s="787"/>
      <c r="T27" s="788"/>
      <c r="U27" s="789"/>
      <c r="V27" s="787"/>
      <c r="W27" s="788"/>
    </row>
    <row r="28" spans="1:23">
      <c r="A28" s="101"/>
      <c r="B28" s="102" t="s">
        <v>46</v>
      </c>
      <c r="C28" s="414"/>
      <c r="D28" s="414"/>
      <c r="E28" s="414"/>
      <c r="F28" s="414"/>
      <c r="G28" s="414">
        <f t="shared" si="1"/>
        <v>0</v>
      </c>
      <c r="H28" s="414"/>
      <c r="I28" s="414"/>
      <c r="J28" s="414"/>
      <c r="K28" s="414">
        <f t="shared" si="2"/>
        <v>0</v>
      </c>
      <c r="L28" s="415">
        <f t="shared" si="3"/>
        <v>0</v>
      </c>
      <c r="M28" s="414">
        <f t="shared" si="4"/>
        <v>0</v>
      </c>
      <c r="N28" s="416">
        <f t="shared" si="5"/>
        <v>0</v>
      </c>
      <c r="O28" s="417"/>
      <c r="P28" s="418"/>
      <c r="Q28" s="419"/>
      <c r="R28" s="786"/>
      <c r="S28" s="787"/>
      <c r="T28" s="788"/>
      <c r="U28" s="789"/>
      <c r="V28" s="787"/>
      <c r="W28" s="788"/>
    </row>
    <row r="29" spans="1:23">
      <c r="A29" s="101"/>
      <c r="B29" s="102" t="s">
        <v>49</v>
      </c>
      <c r="C29" s="414"/>
      <c r="D29" s="414"/>
      <c r="E29" s="414"/>
      <c r="F29" s="414"/>
      <c r="G29" s="414">
        <f t="shared" si="1"/>
        <v>0</v>
      </c>
      <c r="H29" s="414"/>
      <c r="I29" s="414"/>
      <c r="J29" s="414"/>
      <c r="K29" s="414">
        <f t="shared" si="2"/>
        <v>0</v>
      </c>
      <c r="L29" s="415">
        <f t="shared" si="3"/>
        <v>0</v>
      </c>
      <c r="M29" s="414">
        <f t="shared" si="4"/>
        <v>0</v>
      </c>
      <c r="N29" s="416">
        <f t="shared" si="5"/>
        <v>0</v>
      </c>
      <c r="O29" s="417"/>
      <c r="P29" s="418"/>
      <c r="Q29" s="419"/>
      <c r="R29" s="786"/>
      <c r="S29" s="787"/>
      <c r="T29" s="788"/>
      <c r="U29" s="789"/>
      <c r="V29" s="787"/>
      <c r="W29" s="788"/>
    </row>
    <row r="30" spans="1:23" ht="14.25" customHeight="1">
      <c r="A30" s="103" t="s">
        <v>47</v>
      </c>
      <c r="B30" s="102"/>
      <c r="C30" s="414">
        <f>SUM(C31:C32)</f>
        <v>0</v>
      </c>
      <c r="D30" s="414">
        <f t="shared" ref="D30" si="18">SUM(D31:D32)</f>
        <v>0</v>
      </c>
      <c r="E30" s="414">
        <f t="shared" ref="E30" si="19">SUM(E31:E32)</f>
        <v>0</v>
      </c>
      <c r="F30" s="414">
        <f t="shared" ref="F30" si="20">SUM(F31:F32)</f>
        <v>0</v>
      </c>
      <c r="G30" s="414">
        <f t="shared" si="1"/>
        <v>0</v>
      </c>
      <c r="H30" s="414">
        <f t="shared" ref="H30" si="21">SUM(H31:H32)</f>
        <v>0</v>
      </c>
      <c r="I30" s="414">
        <f t="shared" ref="I30" si="22">SUM(I31:I32)</f>
        <v>0</v>
      </c>
      <c r="J30" s="414">
        <f t="shared" ref="J30" si="23">SUM(J31:J32)</f>
        <v>0</v>
      </c>
      <c r="K30" s="414">
        <f t="shared" si="2"/>
        <v>0</v>
      </c>
      <c r="L30" s="415">
        <f>IF(K30=0,0,K30/H30)</f>
        <v>0</v>
      </c>
      <c r="M30" s="414">
        <f t="shared" si="4"/>
        <v>0</v>
      </c>
      <c r="N30" s="416">
        <f>IF(M30=0,0,M30/H30)</f>
        <v>0</v>
      </c>
      <c r="O30" s="417"/>
      <c r="P30" s="418"/>
      <c r="Q30" s="419"/>
      <c r="R30" s="786"/>
      <c r="S30" s="787"/>
      <c r="T30" s="788"/>
      <c r="U30" s="789"/>
      <c r="V30" s="787"/>
      <c r="W30" s="788"/>
    </row>
    <row r="31" spans="1:23">
      <c r="A31" s="101"/>
      <c r="B31" s="102" t="s">
        <v>47</v>
      </c>
      <c r="C31" s="414"/>
      <c r="D31" s="420"/>
      <c r="E31" s="414"/>
      <c r="F31" s="420"/>
      <c r="G31" s="420">
        <f t="shared" si="1"/>
        <v>0</v>
      </c>
      <c r="H31" s="420"/>
      <c r="I31" s="420"/>
      <c r="J31" s="414"/>
      <c r="K31" s="420">
        <f t="shared" si="2"/>
        <v>0</v>
      </c>
      <c r="L31" s="421">
        <f t="shared" si="3"/>
        <v>0</v>
      </c>
      <c r="M31" s="420">
        <f t="shared" si="4"/>
        <v>0</v>
      </c>
      <c r="N31" s="422">
        <f t="shared" si="5"/>
        <v>0</v>
      </c>
      <c r="O31" s="417"/>
      <c r="P31" s="423"/>
      <c r="Q31" s="424"/>
      <c r="R31" s="786"/>
      <c r="S31" s="787"/>
      <c r="T31" s="788"/>
      <c r="U31" s="789"/>
      <c r="V31" s="787"/>
      <c r="W31" s="788"/>
    </row>
    <row r="32" spans="1:23" ht="12.75" customHeight="1">
      <c r="A32" s="101"/>
      <c r="B32" s="102" t="s">
        <v>49</v>
      </c>
      <c r="C32" s="414"/>
      <c r="D32" s="420"/>
      <c r="E32" s="414"/>
      <c r="F32" s="420"/>
      <c r="G32" s="420">
        <f t="shared" si="1"/>
        <v>0</v>
      </c>
      <c r="H32" s="420"/>
      <c r="I32" s="420"/>
      <c r="J32" s="414"/>
      <c r="K32" s="420">
        <f t="shared" si="2"/>
        <v>0</v>
      </c>
      <c r="L32" s="421">
        <f t="shared" si="3"/>
        <v>0</v>
      </c>
      <c r="M32" s="420">
        <f t="shared" si="4"/>
        <v>0</v>
      </c>
      <c r="N32" s="422">
        <f t="shared" si="5"/>
        <v>0</v>
      </c>
      <c r="O32" s="417"/>
      <c r="P32" s="423"/>
      <c r="Q32" s="424"/>
      <c r="R32" s="786"/>
      <c r="S32" s="787"/>
      <c r="T32" s="788"/>
      <c r="U32" s="789"/>
      <c r="V32" s="787"/>
      <c r="W32" s="788"/>
    </row>
    <row r="33" spans="1:23" ht="14.25" customHeight="1">
      <c r="A33" s="101" t="s">
        <v>48</v>
      </c>
      <c r="B33" s="102"/>
      <c r="C33" s="414">
        <f>SUM(C34:C35)</f>
        <v>0</v>
      </c>
      <c r="D33" s="414">
        <f t="shared" ref="D33" si="24">SUM(D34:D35)</f>
        <v>0</v>
      </c>
      <c r="E33" s="414">
        <f t="shared" ref="E33" si="25">SUM(E34:E35)</f>
        <v>0</v>
      </c>
      <c r="F33" s="414">
        <f t="shared" ref="F33" si="26">SUM(F34:F35)</f>
        <v>0</v>
      </c>
      <c r="G33" s="414">
        <f t="shared" si="1"/>
        <v>0</v>
      </c>
      <c r="H33" s="414">
        <f t="shared" ref="H33" si="27">SUM(H34:H35)</f>
        <v>0</v>
      </c>
      <c r="I33" s="414">
        <f t="shared" ref="I33" si="28">SUM(I34:I35)</f>
        <v>0</v>
      </c>
      <c r="J33" s="414">
        <f t="shared" ref="J33" si="29">SUM(J34:J35)</f>
        <v>0</v>
      </c>
      <c r="K33" s="414">
        <f t="shared" si="2"/>
        <v>0</v>
      </c>
      <c r="L33" s="415">
        <f>IF(K33=0,0,K33/H33)</f>
        <v>0</v>
      </c>
      <c r="M33" s="414">
        <f t="shared" si="4"/>
        <v>0</v>
      </c>
      <c r="N33" s="416">
        <f>IF(M33=0,0,M33/H33)</f>
        <v>0</v>
      </c>
      <c r="O33" s="417"/>
      <c r="P33" s="418"/>
      <c r="Q33" s="419"/>
      <c r="R33" s="786"/>
      <c r="S33" s="787"/>
      <c r="T33" s="788"/>
      <c r="U33" s="789"/>
      <c r="V33" s="787"/>
      <c r="W33" s="788"/>
    </row>
    <row r="34" spans="1:23">
      <c r="A34" s="103"/>
      <c r="B34" s="102" t="s">
        <v>48</v>
      </c>
      <c r="C34" s="414"/>
      <c r="D34" s="414"/>
      <c r="E34" s="414"/>
      <c r="F34" s="414"/>
      <c r="G34" s="414">
        <f t="shared" si="1"/>
        <v>0</v>
      </c>
      <c r="H34" s="414"/>
      <c r="I34" s="414"/>
      <c r="J34" s="414"/>
      <c r="K34" s="414">
        <f t="shared" si="2"/>
        <v>0</v>
      </c>
      <c r="L34" s="415">
        <f t="shared" si="3"/>
        <v>0</v>
      </c>
      <c r="M34" s="414">
        <f t="shared" si="4"/>
        <v>0</v>
      </c>
      <c r="N34" s="416">
        <f t="shared" si="5"/>
        <v>0</v>
      </c>
      <c r="O34" s="417"/>
      <c r="P34" s="418"/>
      <c r="Q34" s="419"/>
      <c r="R34" s="786"/>
      <c r="S34" s="787"/>
      <c r="T34" s="788"/>
      <c r="U34" s="789"/>
      <c r="V34" s="787"/>
      <c r="W34" s="788"/>
    </row>
    <row r="35" spans="1:23">
      <c r="A35" s="101"/>
      <c r="B35" s="102" t="s">
        <v>49</v>
      </c>
      <c r="C35" s="414"/>
      <c r="D35" s="414"/>
      <c r="E35" s="414"/>
      <c r="F35" s="414"/>
      <c r="G35" s="414">
        <f t="shared" si="1"/>
        <v>0</v>
      </c>
      <c r="H35" s="414"/>
      <c r="I35" s="414"/>
      <c r="J35" s="414"/>
      <c r="K35" s="414">
        <f t="shared" si="2"/>
        <v>0</v>
      </c>
      <c r="L35" s="415">
        <f t="shared" si="3"/>
        <v>0</v>
      </c>
      <c r="M35" s="414">
        <f t="shared" si="4"/>
        <v>0</v>
      </c>
      <c r="N35" s="416">
        <f t="shared" si="5"/>
        <v>0</v>
      </c>
      <c r="O35" s="417"/>
      <c r="P35" s="418"/>
      <c r="Q35" s="419"/>
      <c r="R35" s="786"/>
      <c r="S35" s="787"/>
      <c r="T35" s="788"/>
      <c r="U35" s="789"/>
      <c r="V35" s="787"/>
      <c r="W35" s="788"/>
    </row>
    <row r="36" spans="1:23" ht="14.25" customHeight="1">
      <c r="A36" s="101" t="s">
        <v>223</v>
      </c>
      <c r="B36" s="102"/>
      <c r="C36" s="414">
        <f>SUM(C37:C38)</f>
        <v>0</v>
      </c>
      <c r="D36" s="414">
        <f t="shared" ref="D36" si="30">SUM(D37:D38)</f>
        <v>0</v>
      </c>
      <c r="E36" s="414">
        <f t="shared" ref="E36" si="31">SUM(E37:E38)</f>
        <v>0</v>
      </c>
      <c r="F36" s="414">
        <f t="shared" ref="F36" si="32">SUM(F37:F38)</f>
        <v>0</v>
      </c>
      <c r="G36" s="414">
        <f t="shared" si="1"/>
        <v>0</v>
      </c>
      <c r="H36" s="414">
        <f t="shared" ref="H36" si="33">SUM(H37:H38)</f>
        <v>0</v>
      </c>
      <c r="I36" s="414">
        <f t="shared" ref="I36" si="34">SUM(I37:I38)</f>
        <v>0</v>
      </c>
      <c r="J36" s="414">
        <f t="shared" ref="J36" si="35">SUM(J37:J38)</f>
        <v>0</v>
      </c>
      <c r="K36" s="414">
        <f t="shared" si="2"/>
        <v>0</v>
      </c>
      <c r="L36" s="415">
        <f>IF(K36=0,0,K36/H36)</f>
        <v>0</v>
      </c>
      <c r="M36" s="414">
        <f t="shared" si="4"/>
        <v>0</v>
      </c>
      <c r="N36" s="416">
        <f>IF(M36=0,0,M36/H36)</f>
        <v>0</v>
      </c>
      <c r="O36" s="417"/>
      <c r="P36" s="418"/>
      <c r="Q36" s="419"/>
      <c r="R36" s="786"/>
      <c r="S36" s="787"/>
      <c r="T36" s="788"/>
      <c r="U36" s="789"/>
      <c r="V36" s="787"/>
      <c r="W36" s="788"/>
    </row>
    <row r="37" spans="1:23" ht="14.25" customHeight="1">
      <c r="A37" s="103"/>
      <c r="B37" s="102" t="s">
        <v>223</v>
      </c>
      <c r="C37" s="414"/>
      <c r="D37" s="420"/>
      <c r="E37" s="414"/>
      <c r="F37" s="420"/>
      <c r="G37" s="420">
        <f t="shared" si="1"/>
        <v>0</v>
      </c>
      <c r="H37" s="420"/>
      <c r="I37" s="420"/>
      <c r="J37" s="414"/>
      <c r="K37" s="420">
        <f t="shared" si="2"/>
        <v>0</v>
      </c>
      <c r="L37" s="421">
        <f t="shared" si="3"/>
        <v>0</v>
      </c>
      <c r="M37" s="414">
        <f t="shared" si="4"/>
        <v>0</v>
      </c>
      <c r="N37" s="416">
        <f t="shared" si="5"/>
        <v>0</v>
      </c>
      <c r="O37" s="417"/>
      <c r="P37" s="418"/>
      <c r="Q37" s="419"/>
      <c r="R37" s="786"/>
      <c r="S37" s="787"/>
      <c r="T37" s="788"/>
      <c r="U37" s="789"/>
      <c r="V37" s="787"/>
      <c r="W37" s="788"/>
    </row>
    <row r="38" spans="1:23">
      <c r="A38" s="101"/>
      <c r="B38" s="102" t="s">
        <v>49</v>
      </c>
      <c r="C38" s="414"/>
      <c r="D38" s="420"/>
      <c r="E38" s="414"/>
      <c r="F38" s="420"/>
      <c r="G38" s="420">
        <f t="shared" si="1"/>
        <v>0</v>
      </c>
      <c r="H38" s="420"/>
      <c r="I38" s="420"/>
      <c r="J38" s="414"/>
      <c r="K38" s="420">
        <f t="shared" si="2"/>
        <v>0</v>
      </c>
      <c r="L38" s="421">
        <f t="shared" si="3"/>
        <v>0</v>
      </c>
      <c r="M38" s="414">
        <f t="shared" si="4"/>
        <v>0</v>
      </c>
      <c r="N38" s="416">
        <f t="shared" si="5"/>
        <v>0</v>
      </c>
      <c r="O38" s="417"/>
      <c r="P38" s="418"/>
      <c r="Q38" s="419"/>
      <c r="R38" s="786"/>
      <c r="S38" s="787"/>
      <c r="T38" s="788"/>
      <c r="U38" s="789"/>
      <c r="V38" s="787"/>
      <c r="W38" s="788"/>
    </row>
    <row r="39" spans="1:23" ht="9.75" customHeight="1">
      <c r="A39" s="101"/>
      <c r="B39" s="102"/>
      <c r="C39" s="414"/>
      <c r="D39" s="414"/>
      <c r="E39" s="414"/>
      <c r="F39" s="414"/>
      <c r="G39" s="414">
        <f t="shared" si="1"/>
        <v>0</v>
      </c>
      <c r="H39" s="414"/>
      <c r="I39" s="414"/>
      <c r="J39" s="414"/>
      <c r="K39" s="414">
        <f t="shared" si="2"/>
        <v>0</v>
      </c>
      <c r="L39" s="415">
        <f t="shared" si="3"/>
        <v>0</v>
      </c>
      <c r="M39" s="414">
        <f t="shared" si="4"/>
        <v>0</v>
      </c>
      <c r="N39" s="416">
        <f t="shared" si="5"/>
        <v>0</v>
      </c>
      <c r="O39" s="417"/>
      <c r="P39" s="418"/>
      <c r="Q39" s="419"/>
      <c r="R39" s="786"/>
      <c r="S39" s="787"/>
      <c r="T39" s="788"/>
      <c r="U39" s="789"/>
      <c r="V39" s="787"/>
      <c r="W39" s="788"/>
    </row>
    <row r="40" spans="1:23" ht="14.25" customHeight="1">
      <c r="A40" s="107" t="s">
        <v>173</v>
      </c>
      <c r="B40" s="104"/>
      <c r="C40" s="425">
        <f>SUM(C21:C39)/2</f>
        <v>0</v>
      </c>
      <c r="D40" s="425">
        <f t="shared" ref="D40:J40" si="36">SUM(D21:D39)/2</f>
        <v>0</v>
      </c>
      <c r="E40" s="425">
        <f t="shared" si="36"/>
        <v>0</v>
      </c>
      <c r="F40" s="425">
        <f t="shared" si="36"/>
        <v>0</v>
      </c>
      <c r="G40" s="425">
        <f t="shared" si="1"/>
        <v>0</v>
      </c>
      <c r="H40" s="425">
        <f t="shared" si="36"/>
        <v>0</v>
      </c>
      <c r="I40" s="425">
        <f t="shared" si="36"/>
        <v>0</v>
      </c>
      <c r="J40" s="425">
        <f t="shared" si="36"/>
        <v>0</v>
      </c>
      <c r="K40" s="426">
        <f t="shared" si="2"/>
        <v>0</v>
      </c>
      <c r="L40" s="427">
        <f t="shared" si="3"/>
        <v>0</v>
      </c>
      <c r="M40" s="425">
        <f t="shared" si="4"/>
        <v>0</v>
      </c>
      <c r="N40" s="428">
        <f t="shared" si="5"/>
        <v>0</v>
      </c>
      <c r="O40" s="429"/>
      <c r="P40" s="430"/>
      <c r="Q40" s="431"/>
      <c r="R40" s="790"/>
      <c r="S40" s="791"/>
      <c r="T40" s="792"/>
      <c r="U40" s="793"/>
      <c r="V40" s="791"/>
      <c r="W40" s="792"/>
    </row>
    <row r="41" spans="1:23">
      <c r="R41" s="13"/>
      <c r="S41" s="13"/>
      <c r="T41" s="13"/>
      <c r="U41" s="13"/>
      <c r="V41" s="13"/>
      <c r="W41" s="13"/>
    </row>
  </sheetData>
  <mergeCells count="64"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  <mergeCell ref="R21:T21"/>
    <mergeCell ref="U21:W21"/>
    <mergeCell ref="R22:T22"/>
    <mergeCell ref="U22:W22"/>
    <mergeCell ref="R23:T23"/>
    <mergeCell ref="U23:W23"/>
    <mergeCell ref="R24:T24"/>
    <mergeCell ref="U24:W24"/>
    <mergeCell ref="R25:T25"/>
    <mergeCell ref="U25:W25"/>
    <mergeCell ref="R26:T26"/>
    <mergeCell ref="U26:W26"/>
    <mergeCell ref="R27:T27"/>
    <mergeCell ref="U27:W27"/>
    <mergeCell ref="R28:T28"/>
    <mergeCell ref="U28:W28"/>
    <mergeCell ref="R29:T29"/>
    <mergeCell ref="U29:W29"/>
    <mergeCell ref="R30:T30"/>
    <mergeCell ref="U30:W30"/>
    <mergeCell ref="R31:T31"/>
    <mergeCell ref="U31:W31"/>
    <mergeCell ref="R32:T32"/>
    <mergeCell ref="U32:W32"/>
    <mergeCell ref="R33:T33"/>
    <mergeCell ref="U33:W33"/>
    <mergeCell ref="R34:T34"/>
    <mergeCell ref="U34:W34"/>
    <mergeCell ref="R35:T35"/>
    <mergeCell ref="U35:W35"/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238" bestFit="1" customWidth="1"/>
    <col min="14" max="14" width="9.7109375" style="238" bestFit="1" customWidth="1"/>
    <col min="15" max="15" width="13.28515625" style="239" bestFit="1" customWidth="1"/>
    <col min="16" max="16" width="12.5703125" style="251" customWidth="1"/>
    <col min="17" max="17" width="12.28515625" style="343" bestFit="1" customWidth="1"/>
    <col min="18" max="18" width="12" style="343" customWidth="1"/>
    <col min="19" max="16384" width="6.85546875" style="3"/>
  </cols>
  <sheetData>
    <row r="1" spans="1:16" ht="19.5">
      <c r="A1" s="691" t="str">
        <f>封面!$A$4</f>
        <v>彰化縣地方教育發展基金－彰化縣秀水鄉馬興國民小學</v>
      </c>
      <c r="B1" s="691"/>
      <c r="C1" s="691"/>
      <c r="D1" s="691"/>
      <c r="E1" s="691"/>
      <c r="F1" s="691"/>
      <c r="G1" s="691"/>
      <c r="H1" s="691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1">
      <c r="A4" s="707" t="s">
        <v>38</v>
      </c>
      <c r="B4" s="707"/>
      <c r="C4" s="707"/>
      <c r="D4" s="707"/>
      <c r="E4" s="707"/>
      <c r="F4" s="707"/>
      <c r="G4" s="707"/>
      <c r="H4" s="707"/>
    </row>
    <row r="5" spans="1:16" ht="6.75" customHeight="1"/>
    <row r="6" spans="1:16" ht="16.5">
      <c r="A6" s="692" t="str">
        <f>封面!$E$10&amp;封面!$H$10&amp;封面!$I$10&amp;封面!$J$10&amp;封面!$K$10&amp;封面!L10</f>
        <v>中華民國111年12月份</v>
      </c>
      <c r="B6" s="692"/>
      <c r="C6" s="692"/>
      <c r="D6" s="692"/>
      <c r="E6" s="692"/>
      <c r="F6" s="692"/>
      <c r="G6" s="692"/>
      <c r="H6" s="692"/>
    </row>
    <row r="7" spans="1:16" ht="14.25" customHeight="1">
      <c r="A7" s="633" t="s">
        <v>39</v>
      </c>
      <c r="B7" s="633"/>
      <c r="C7" s="633"/>
      <c r="D7" s="633"/>
      <c r="E7" s="633"/>
      <c r="F7" s="633"/>
      <c r="G7" s="633"/>
      <c r="H7" s="633"/>
      <c r="K7" s="151">
        <f t="shared" ref="K7:P7" si="0">K15-K34</f>
        <v>-761342</v>
      </c>
      <c r="L7" s="151">
        <f t="shared" si="0"/>
        <v>-1015711</v>
      </c>
      <c r="M7" s="151">
        <f t="shared" si="0"/>
        <v>159415</v>
      </c>
      <c r="N7" s="151">
        <f t="shared" si="0"/>
        <v>0</v>
      </c>
      <c r="O7" s="151">
        <f t="shared" si="0"/>
        <v>35854059</v>
      </c>
      <c r="P7" s="151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827" t="s">
        <v>40</v>
      </c>
      <c r="I9" s="150"/>
    </row>
    <row r="10" spans="1:16" ht="14.25" customHeight="1">
      <c r="A10" s="823" t="s">
        <v>41</v>
      </c>
      <c r="B10" s="825"/>
      <c r="C10" s="833" t="s">
        <v>51</v>
      </c>
      <c r="D10" s="825" t="s">
        <v>52</v>
      </c>
      <c r="E10" s="833" t="s">
        <v>53</v>
      </c>
      <c r="F10" s="833" t="s">
        <v>54</v>
      </c>
      <c r="G10" s="823" t="s">
        <v>42</v>
      </c>
      <c r="H10" s="828"/>
      <c r="I10" s="150"/>
      <c r="K10" s="207" t="s">
        <v>193</v>
      </c>
      <c r="L10" s="207" t="s">
        <v>194</v>
      </c>
      <c r="M10" s="830" t="s">
        <v>209</v>
      </c>
      <c r="N10" s="835" t="s">
        <v>222</v>
      </c>
      <c r="O10" s="832" t="s">
        <v>220</v>
      </c>
    </row>
    <row r="11" spans="1:16" ht="14.25">
      <c r="A11" s="824"/>
      <c r="B11" s="826"/>
      <c r="C11" s="834"/>
      <c r="D11" s="826"/>
      <c r="E11" s="834"/>
      <c r="F11" s="834"/>
      <c r="G11" s="824"/>
      <c r="H11" s="829"/>
      <c r="I11" s="150"/>
      <c r="M11" s="831"/>
      <c r="N11" s="836"/>
      <c r="O11" s="831"/>
      <c r="P11" s="252" t="s">
        <v>221</v>
      </c>
    </row>
    <row r="12" spans="1:16" ht="12.75" hidden="1" customHeight="1">
      <c r="H12" s="122"/>
      <c r="I12" s="150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4" t="s">
        <v>43</v>
      </c>
      <c r="B15" s="95"/>
      <c r="C15" s="227"/>
      <c r="D15" s="227"/>
      <c r="E15" s="227"/>
      <c r="F15" s="227"/>
      <c r="G15" s="273"/>
      <c r="H15" s="227"/>
      <c r="I15" s="14"/>
      <c r="J15" s="151">
        <f>D15-E15-H15</f>
        <v>0</v>
      </c>
      <c r="K15" s="254">
        <f>D15-[6]固定項目!D15</f>
        <v>-761342</v>
      </c>
      <c r="L15" s="254">
        <f>E15-[6]固定項目!E15</f>
        <v>-1015711</v>
      </c>
      <c r="M15" s="254">
        <f>SUM(M18:M36)</f>
        <v>159415</v>
      </c>
      <c r="N15" s="254">
        <f>SUM(N18:N36)</f>
        <v>0</v>
      </c>
      <c r="O15" s="254">
        <f>SUM(O18:O36)</f>
        <v>35854059</v>
      </c>
      <c r="P15" s="257">
        <f>SUM(P18:P36)</f>
        <v>-35854059</v>
      </c>
    </row>
    <row r="16" spans="1:16" ht="21" hidden="1" customHeight="1">
      <c r="A16" s="18"/>
      <c r="B16" s="18"/>
      <c r="C16" s="228"/>
      <c r="D16" s="228"/>
      <c r="E16" s="228"/>
      <c r="F16" s="228"/>
      <c r="G16" s="273"/>
      <c r="H16" s="228"/>
      <c r="I16" s="14"/>
      <c r="J16" s="151">
        <f t="shared" ref="J16:J36" si="1">D16-E16-H16</f>
        <v>0</v>
      </c>
      <c r="K16" s="255">
        <f>D16-[6]固定項目!D16</f>
        <v>0</v>
      </c>
      <c r="L16" s="255">
        <f>E16-[6]固定項目!E16</f>
        <v>0</v>
      </c>
      <c r="P16" s="257"/>
    </row>
    <row r="17" spans="1:18" ht="21" hidden="1" customHeight="1">
      <c r="A17" s="18"/>
      <c r="B17" s="18"/>
      <c r="C17" s="228"/>
      <c r="D17" s="228"/>
      <c r="E17" s="228"/>
      <c r="F17" s="228"/>
      <c r="G17" s="273"/>
      <c r="H17" s="228"/>
      <c r="I17" s="14"/>
      <c r="J17" s="151">
        <f t="shared" si="1"/>
        <v>0</v>
      </c>
      <c r="K17" s="255">
        <f>D17-[6]固定項目!D17</f>
        <v>0</v>
      </c>
      <c r="L17" s="255">
        <f>E17-[6]固定項目!E17</f>
        <v>0</v>
      </c>
      <c r="P17" s="257"/>
    </row>
    <row r="18" spans="1:18" ht="26.25" customHeight="1">
      <c r="A18" s="19"/>
      <c r="B18" s="96" t="s">
        <v>172</v>
      </c>
      <c r="C18" s="228"/>
      <c r="D18" s="228"/>
      <c r="E18" s="228"/>
      <c r="F18" s="228"/>
      <c r="G18" s="273"/>
      <c r="H18" s="228"/>
      <c r="I18" s="14"/>
      <c r="J18" s="151">
        <f t="shared" si="1"/>
        <v>0</v>
      </c>
      <c r="K18" s="255">
        <f>D18-[7]固定項目!D18</f>
        <v>0</v>
      </c>
      <c r="L18" s="255">
        <f>E18-[7]固定項目!E18</f>
        <v>0</v>
      </c>
      <c r="O18" s="256">
        <f>M18-N18+[7]固定項目!O18</f>
        <v>0</v>
      </c>
      <c r="P18" s="257"/>
    </row>
    <row r="19" spans="1:18" ht="21" hidden="1" customHeight="1">
      <c r="A19" s="18"/>
      <c r="B19" s="18"/>
      <c r="C19" s="228"/>
      <c r="D19" s="228"/>
      <c r="E19" s="228"/>
      <c r="F19" s="228"/>
      <c r="G19" s="273"/>
      <c r="H19" s="228"/>
      <c r="I19" s="14"/>
      <c r="J19" s="151">
        <f t="shared" si="1"/>
        <v>0</v>
      </c>
      <c r="K19" s="255">
        <f>D19-[7]固定項目!D20</f>
        <v>0</v>
      </c>
      <c r="L19" s="255">
        <f>E19-[7]固定項目!E20</f>
        <v>0</v>
      </c>
      <c r="O19" s="256">
        <f>M19-N19+[7]固定項目!O20</f>
        <v>0</v>
      </c>
      <c r="P19" s="257"/>
    </row>
    <row r="20" spans="1:18" ht="21" customHeight="1">
      <c r="A20" s="20"/>
      <c r="B20" s="97" t="s">
        <v>44</v>
      </c>
      <c r="C20" s="227"/>
      <c r="D20" s="227"/>
      <c r="E20" s="227"/>
      <c r="F20" s="227"/>
      <c r="G20" s="273"/>
      <c r="H20" s="227"/>
      <c r="I20" s="14"/>
      <c r="J20" s="151">
        <f t="shared" si="1"/>
        <v>0</v>
      </c>
      <c r="K20" s="255">
        <f>D20-[7]固定項目!D21</f>
        <v>0</v>
      </c>
      <c r="L20" s="255">
        <f>E20-[7]固定項目!E21</f>
        <v>0</v>
      </c>
      <c r="O20" s="256">
        <f>M20-N20+[7]固定項目!O21</f>
        <v>0</v>
      </c>
      <c r="P20" s="257">
        <f>C20+D20-E20-O20</f>
        <v>0</v>
      </c>
      <c r="Q20" s="343">
        <v>9760300</v>
      </c>
      <c r="R20" s="344">
        <f>P20-Q20</f>
        <v>-9760300</v>
      </c>
    </row>
    <row r="21" spans="1:18" ht="21" hidden="1" customHeight="1">
      <c r="A21" s="18"/>
      <c r="B21" s="18"/>
      <c r="C21" s="228"/>
      <c r="D21" s="228"/>
      <c r="E21" s="228"/>
      <c r="F21" s="228"/>
      <c r="G21" s="273"/>
      <c r="H21" s="228"/>
      <c r="I21" s="14"/>
      <c r="J21" s="151">
        <f t="shared" si="1"/>
        <v>0</v>
      </c>
      <c r="K21" s="255">
        <f>D21-[7]固定項目!D23</f>
        <v>0</v>
      </c>
      <c r="L21" s="255">
        <f>E21-[7]固定項目!E23</f>
        <v>0</v>
      </c>
      <c r="O21" s="256">
        <f>M21-N21+[7]固定項目!O23</f>
        <v>0</v>
      </c>
      <c r="P21" s="257">
        <f t="shared" ref="P21:P42" si="2">C21+D21-E21-O21</f>
        <v>0</v>
      </c>
      <c r="R21" s="344">
        <f t="shared" ref="R21:R30" si="3">P21-Q21</f>
        <v>0</v>
      </c>
    </row>
    <row r="22" spans="1:18" ht="21" customHeight="1">
      <c r="A22" s="20"/>
      <c r="B22" s="97" t="s">
        <v>45</v>
      </c>
      <c r="C22" s="227"/>
      <c r="D22" s="228"/>
      <c r="E22" s="228"/>
      <c r="F22" s="227"/>
      <c r="G22" s="273"/>
      <c r="H22" s="228"/>
      <c r="I22" s="14"/>
      <c r="J22" s="151">
        <f t="shared" si="1"/>
        <v>0</v>
      </c>
      <c r="K22" s="255">
        <f>D22-[7]固定項目!D24</f>
        <v>-65606</v>
      </c>
      <c r="L22" s="255">
        <f>E22-[7]固定項目!E24</f>
        <v>0</v>
      </c>
      <c r="M22" s="238">
        <v>32803</v>
      </c>
      <c r="O22" s="256">
        <f>M22-N22+[7]固定項目!O24</f>
        <v>2027157</v>
      </c>
      <c r="P22" s="257">
        <f t="shared" si="2"/>
        <v>-2027157</v>
      </c>
      <c r="Q22" s="343">
        <v>3532484</v>
      </c>
      <c r="R22" s="344">
        <f t="shared" si="3"/>
        <v>-5559641</v>
      </c>
    </row>
    <row r="23" spans="1:18" ht="21" hidden="1" customHeight="1">
      <c r="A23" s="18"/>
      <c r="B23" s="18"/>
      <c r="C23" s="228"/>
      <c r="D23" s="228"/>
      <c r="E23" s="228"/>
      <c r="F23" s="228"/>
      <c r="G23" s="273"/>
      <c r="H23" s="228"/>
      <c r="I23" s="14"/>
      <c r="J23" s="151">
        <f t="shared" si="1"/>
        <v>0</v>
      </c>
      <c r="K23" s="255">
        <f>D23-[7]固定項目!D26</f>
        <v>0</v>
      </c>
      <c r="L23" s="255">
        <f>E23-[7]固定項目!E26</f>
        <v>0</v>
      </c>
      <c r="O23" s="256">
        <f>M23-N23+[7]固定項目!O26</f>
        <v>0</v>
      </c>
      <c r="P23" s="257">
        <f t="shared" si="2"/>
        <v>0</v>
      </c>
      <c r="R23" s="344">
        <f t="shared" si="3"/>
        <v>0</v>
      </c>
    </row>
    <row r="24" spans="1:18" ht="21" customHeight="1">
      <c r="A24" s="20"/>
      <c r="B24" s="97" t="s">
        <v>46</v>
      </c>
      <c r="C24" s="227"/>
      <c r="D24" s="228"/>
      <c r="E24" s="227"/>
      <c r="F24" s="227"/>
      <c r="G24" s="273"/>
      <c r="H24" s="227"/>
      <c r="I24" s="14"/>
      <c r="J24" s="151">
        <f t="shared" si="1"/>
        <v>0</v>
      </c>
      <c r="K24" s="255">
        <f>D24-[7]固定項目!D27</f>
        <v>0</v>
      </c>
      <c r="L24" s="255">
        <f>E24-[7]固定項目!E27</f>
        <v>-462500</v>
      </c>
      <c r="M24" s="238">
        <v>83429</v>
      </c>
      <c r="O24" s="256">
        <f>M24-N24+[7]固定項目!O27</f>
        <v>24356499</v>
      </c>
      <c r="P24" s="257">
        <f t="shared" si="2"/>
        <v>-24356499</v>
      </c>
      <c r="Q24" s="343">
        <v>20166512</v>
      </c>
      <c r="R24" s="344">
        <f t="shared" si="3"/>
        <v>-44523011</v>
      </c>
    </row>
    <row r="25" spans="1:18" ht="21" hidden="1" customHeight="1">
      <c r="A25" s="18"/>
      <c r="B25" s="18"/>
      <c r="C25" s="228"/>
      <c r="D25" s="228"/>
      <c r="E25" s="228"/>
      <c r="F25" s="228"/>
      <c r="G25" s="273"/>
      <c r="H25" s="228"/>
      <c r="I25" s="14"/>
      <c r="J25" s="151">
        <f t="shared" si="1"/>
        <v>0</v>
      </c>
      <c r="K25" s="255">
        <f>D25-[7]固定項目!D29</f>
        <v>0</v>
      </c>
      <c r="L25" s="255">
        <f>E25-[7]固定項目!E29</f>
        <v>0</v>
      </c>
      <c r="O25" s="256">
        <f>M25-N25+[7]固定項目!O29</f>
        <v>0</v>
      </c>
      <c r="P25" s="257">
        <f t="shared" si="2"/>
        <v>0</v>
      </c>
      <c r="R25" s="344">
        <f t="shared" si="3"/>
        <v>0</v>
      </c>
    </row>
    <row r="26" spans="1:18" ht="21" customHeight="1">
      <c r="A26" s="20"/>
      <c r="B26" s="97" t="s">
        <v>47</v>
      </c>
      <c r="C26" s="227"/>
      <c r="D26" s="227"/>
      <c r="E26" s="227"/>
      <c r="F26" s="227"/>
      <c r="G26" s="273"/>
      <c r="H26" s="227"/>
      <c r="I26" s="14"/>
      <c r="J26" s="151">
        <f t="shared" si="1"/>
        <v>0</v>
      </c>
      <c r="K26" s="255">
        <f>D26-[7]固定項目!D30</f>
        <v>-112736</v>
      </c>
      <c r="L26" s="255">
        <f>E26-[7]固定項目!E30</f>
        <v>-343611</v>
      </c>
      <c r="M26" s="238">
        <v>24242</v>
      </c>
      <c r="O26" s="256">
        <f>M26-N26+[7]固定項目!O30</f>
        <v>4960805</v>
      </c>
      <c r="P26" s="257">
        <f t="shared" si="2"/>
        <v>-4960805</v>
      </c>
      <c r="Q26" s="343">
        <v>1123223</v>
      </c>
      <c r="R26" s="344">
        <f t="shared" si="3"/>
        <v>-6084028</v>
      </c>
    </row>
    <row r="27" spans="1:18" ht="21" hidden="1" customHeight="1">
      <c r="A27" s="18"/>
      <c r="B27" s="18"/>
      <c r="C27" s="228"/>
      <c r="D27" s="228"/>
      <c r="E27" s="228"/>
      <c r="F27" s="228"/>
      <c r="G27" s="273"/>
      <c r="H27" s="228"/>
      <c r="I27" s="14"/>
      <c r="J27" s="151">
        <f t="shared" si="1"/>
        <v>0</v>
      </c>
      <c r="K27" s="255">
        <f>D27-[7]固定項目!D32</f>
        <v>0</v>
      </c>
      <c r="L27" s="255">
        <f>E27-[7]固定項目!E32</f>
        <v>0</v>
      </c>
      <c r="O27" s="256">
        <f>M27-N27+[7]固定項目!O32</f>
        <v>0</v>
      </c>
      <c r="P27" s="257">
        <f t="shared" si="2"/>
        <v>0</v>
      </c>
      <c r="R27" s="344">
        <f t="shared" si="3"/>
        <v>0</v>
      </c>
    </row>
    <row r="28" spans="1:18" ht="21" customHeight="1">
      <c r="A28" s="20"/>
      <c r="B28" s="97" t="s">
        <v>48</v>
      </c>
      <c r="C28" s="227"/>
      <c r="D28" s="228"/>
      <c r="E28" s="227"/>
      <c r="F28" s="227"/>
      <c r="G28" s="273"/>
      <c r="H28" s="227"/>
      <c r="I28" s="14"/>
      <c r="J28" s="151">
        <f t="shared" si="1"/>
        <v>0</v>
      </c>
      <c r="K28" s="255">
        <f>D28-[7]固定項目!D33</f>
        <v>0</v>
      </c>
      <c r="L28" s="255">
        <f>E28-[7]固定項目!E33</f>
        <v>-98000</v>
      </c>
      <c r="M28" s="238">
        <v>5018</v>
      </c>
      <c r="O28" s="256">
        <f>M28-N28+[7]固定項目!O33</f>
        <v>707188</v>
      </c>
      <c r="P28" s="257">
        <f t="shared" si="2"/>
        <v>-707188</v>
      </c>
      <c r="Q28" s="343">
        <v>148230</v>
      </c>
      <c r="R28" s="344">
        <f t="shared" si="3"/>
        <v>-855418</v>
      </c>
    </row>
    <row r="29" spans="1:18" ht="21" hidden="1" customHeight="1">
      <c r="A29" s="18"/>
      <c r="B29" s="18"/>
      <c r="C29" s="228"/>
      <c r="D29" s="228"/>
      <c r="E29" s="228"/>
      <c r="F29" s="228"/>
      <c r="G29" s="273"/>
      <c r="H29" s="228"/>
      <c r="I29" s="14"/>
      <c r="J29" s="151">
        <f t="shared" si="1"/>
        <v>0</v>
      </c>
      <c r="K29" s="255">
        <f>D29-[7]固定項目!D35</f>
        <v>0</v>
      </c>
      <c r="L29" s="255">
        <f>E29-[7]固定項目!E35</f>
        <v>0</v>
      </c>
      <c r="O29" s="256">
        <f>M29-N29+[7]固定項目!O35</f>
        <v>0</v>
      </c>
      <c r="P29" s="257">
        <f t="shared" si="2"/>
        <v>0</v>
      </c>
      <c r="R29" s="344">
        <f t="shared" si="3"/>
        <v>0</v>
      </c>
    </row>
    <row r="30" spans="1:18" ht="21" customHeight="1">
      <c r="A30" s="20"/>
      <c r="B30" s="97" t="s">
        <v>203</v>
      </c>
      <c r="C30" s="227"/>
      <c r="D30" s="227"/>
      <c r="E30" s="227"/>
      <c r="F30" s="227"/>
      <c r="G30" s="273"/>
      <c r="H30" s="227"/>
      <c r="I30" s="14"/>
      <c r="J30" s="151">
        <f t="shared" si="1"/>
        <v>0</v>
      </c>
      <c r="K30" s="255">
        <f>D30-[7]固定項目!D36</f>
        <v>-596000</v>
      </c>
      <c r="L30" s="255">
        <f>E30-[7]固定項目!E36</f>
        <v>-111600</v>
      </c>
      <c r="M30" s="238">
        <v>13923</v>
      </c>
      <c r="O30" s="256">
        <f>M30-N30+[7]固定項目!O36</f>
        <v>3802410</v>
      </c>
      <c r="P30" s="257">
        <f t="shared" si="2"/>
        <v>-3802410</v>
      </c>
      <c r="Q30" s="343">
        <v>667523</v>
      </c>
      <c r="R30" s="344">
        <f t="shared" si="3"/>
        <v>-4469933</v>
      </c>
    </row>
    <row r="31" spans="1:18" ht="21" hidden="1" customHeight="1">
      <c r="A31" s="18"/>
      <c r="B31" s="18"/>
      <c r="C31" s="228"/>
      <c r="D31" s="228"/>
      <c r="E31" s="228"/>
      <c r="F31" s="228"/>
      <c r="G31" s="273"/>
      <c r="H31" s="228"/>
      <c r="I31" s="14"/>
      <c r="J31" s="151">
        <f t="shared" si="1"/>
        <v>0</v>
      </c>
      <c r="K31" s="255">
        <f>D31-[7]固定項目!D38</f>
        <v>0</v>
      </c>
      <c r="L31" s="255">
        <f>E31-[7]固定項目!E38</f>
        <v>0</v>
      </c>
      <c r="O31" s="256">
        <f>M31-N31+[7]固定項目!O38</f>
        <v>0</v>
      </c>
      <c r="P31" s="251">
        <f t="shared" si="2"/>
        <v>0</v>
      </c>
    </row>
    <row r="32" spans="1:18" ht="21" customHeight="1">
      <c r="A32" s="20"/>
      <c r="B32" s="97" t="s">
        <v>49</v>
      </c>
      <c r="C32" s="228"/>
      <c r="D32" s="228"/>
      <c r="E32" s="228"/>
      <c r="F32" s="228"/>
      <c r="G32" s="273"/>
      <c r="H32" s="228"/>
      <c r="I32" s="14"/>
      <c r="J32" s="151">
        <f t="shared" si="1"/>
        <v>0</v>
      </c>
      <c r="K32" s="255">
        <f>D32-[7]固定項目!D39</f>
        <v>0</v>
      </c>
      <c r="L32" s="255">
        <f>E32-[7]固定項目!E39</f>
        <v>0</v>
      </c>
      <c r="O32" s="256">
        <f>M32-N32+[7]固定項目!O39</f>
        <v>0</v>
      </c>
      <c r="P32" s="251">
        <f t="shared" si="2"/>
        <v>0</v>
      </c>
    </row>
    <row r="33" spans="1:16" ht="21" hidden="1" customHeight="1">
      <c r="A33" s="18"/>
      <c r="B33" s="18"/>
      <c r="C33" s="228"/>
      <c r="D33" s="228"/>
      <c r="E33" s="228"/>
      <c r="F33" s="228"/>
      <c r="G33" s="273"/>
      <c r="H33" s="228"/>
      <c r="I33" s="14"/>
      <c r="J33" s="151">
        <f t="shared" si="1"/>
        <v>0</v>
      </c>
      <c r="K33" s="255">
        <f>D33-[7]固定項目!D41</f>
        <v>0</v>
      </c>
      <c r="L33" s="255">
        <f>E33-[7]固定項目!E41</f>
        <v>0</v>
      </c>
      <c r="O33" s="256">
        <f>M33-N33+[7]固定項目!O41</f>
        <v>0</v>
      </c>
      <c r="P33" s="251">
        <f t="shared" si="2"/>
        <v>0</v>
      </c>
    </row>
    <row r="34" spans="1:16" ht="21" customHeight="1">
      <c r="A34" s="20"/>
      <c r="B34" s="97" t="s">
        <v>204</v>
      </c>
      <c r="C34" s="227"/>
      <c r="D34" s="228"/>
      <c r="E34" s="228"/>
      <c r="F34" s="227"/>
      <c r="G34" s="273"/>
      <c r="H34" s="228"/>
      <c r="I34" s="14"/>
      <c r="J34" s="151">
        <f t="shared" si="1"/>
        <v>0</v>
      </c>
      <c r="K34" s="255">
        <f>D34-[7]固定項目!D42</f>
        <v>0</v>
      </c>
      <c r="L34" s="255">
        <f>E34-[7]固定項目!E42</f>
        <v>0</v>
      </c>
      <c r="M34" s="253"/>
      <c r="N34" s="253">
        <f>E34</f>
        <v>0</v>
      </c>
      <c r="O34" s="256">
        <f>M34-N34+[7]固定項目!O42</f>
        <v>0</v>
      </c>
      <c r="P34" s="251">
        <f t="shared" si="2"/>
        <v>0</v>
      </c>
    </row>
    <row r="35" spans="1:16" ht="21" hidden="1" customHeight="1">
      <c r="A35" s="18"/>
      <c r="B35" s="18"/>
      <c r="C35" s="228"/>
      <c r="D35" s="228"/>
      <c r="E35" s="228"/>
      <c r="F35" s="228"/>
      <c r="G35" s="273"/>
      <c r="H35" s="228"/>
      <c r="I35" s="14"/>
      <c r="J35" s="151">
        <f t="shared" si="1"/>
        <v>0</v>
      </c>
      <c r="K35" s="255">
        <f>D35-[7]固定項目!D44</f>
        <v>0</v>
      </c>
      <c r="L35" s="255">
        <f>E35-[7]固定項目!E44</f>
        <v>0</v>
      </c>
      <c r="O35" s="256">
        <f>M35-N35+[7]固定項目!O44</f>
        <v>0</v>
      </c>
      <c r="P35" s="251">
        <f t="shared" si="2"/>
        <v>0</v>
      </c>
    </row>
    <row r="36" spans="1:16" ht="21" customHeight="1">
      <c r="A36" s="20"/>
      <c r="B36" s="97" t="s">
        <v>50</v>
      </c>
      <c r="C36" s="228"/>
      <c r="D36" s="228"/>
      <c r="E36" s="228"/>
      <c r="F36" s="228"/>
      <c r="G36" s="274"/>
      <c r="H36" s="228"/>
      <c r="I36" s="14"/>
      <c r="J36" s="151">
        <f t="shared" si="1"/>
        <v>0</v>
      </c>
      <c r="K36" s="255">
        <f>D36-[7]固定項目!D45</f>
        <v>0</v>
      </c>
      <c r="L36" s="255">
        <f>E36-[7]固定項目!E45</f>
        <v>0</v>
      </c>
      <c r="O36" s="256">
        <f>M36-N36+[7]固定項目!O45</f>
        <v>0</v>
      </c>
      <c r="P36" s="251">
        <f t="shared" si="2"/>
        <v>0</v>
      </c>
    </row>
    <row r="37" spans="1:16" ht="21" hidden="1" customHeight="1">
      <c r="A37" s="233"/>
      <c r="B37" s="234"/>
      <c r="C37" s="14"/>
      <c r="D37" s="14"/>
      <c r="E37" s="14"/>
      <c r="F37" s="14"/>
      <c r="G37" s="275"/>
      <c r="H37" s="14"/>
      <c r="O37" s="256">
        <f>M37-N37+[7]固定項目!O47</f>
        <v>0</v>
      </c>
      <c r="P37" s="251">
        <f t="shared" si="2"/>
        <v>0</v>
      </c>
    </row>
    <row r="38" spans="1:16" ht="21" customHeight="1">
      <c r="A38" s="233"/>
      <c r="B38" s="235" t="s">
        <v>205</v>
      </c>
      <c r="C38" s="14"/>
      <c r="D38" s="14"/>
      <c r="E38" s="14"/>
      <c r="F38" s="14"/>
      <c r="G38" s="275"/>
      <c r="H38" s="14"/>
      <c r="O38" s="256">
        <f>M38-N38+[7]固定項目!O48</f>
        <v>0</v>
      </c>
      <c r="P38" s="251">
        <f t="shared" si="2"/>
        <v>0</v>
      </c>
    </row>
    <row r="39" spans="1:16" ht="21" hidden="1" customHeight="1">
      <c r="A39" s="233"/>
      <c r="B39" s="234"/>
      <c r="C39" s="14"/>
      <c r="D39" s="14"/>
      <c r="E39" s="14"/>
      <c r="F39" s="14"/>
      <c r="G39" s="275"/>
      <c r="H39" s="14"/>
      <c r="O39" s="256">
        <f>M39-N39+[7]固定項目!O50</f>
        <v>0</v>
      </c>
      <c r="P39" s="251">
        <f t="shared" si="2"/>
        <v>0</v>
      </c>
    </row>
    <row r="40" spans="1:16" ht="21" customHeight="1">
      <c r="A40" s="233"/>
      <c r="B40" s="235" t="s">
        <v>206</v>
      </c>
      <c r="C40" s="14"/>
      <c r="D40" s="14"/>
      <c r="E40" s="14"/>
      <c r="F40" s="14"/>
      <c r="G40" s="275"/>
      <c r="H40" s="14"/>
      <c r="O40" s="256">
        <f>M40-N40+[7]固定項目!O51</f>
        <v>0</v>
      </c>
      <c r="P40" s="251">
        <f t="shared" si="2"/>
        <v>0</v>
      </c>
    </row>
    <row r="41" spans="1:16" ht="21" hidden="1" customHeight="1">
      <c r="A41" s="233"/>
      <c r="B41" s="234"/>
      <c r="C41" s="14"/>
      <c r="D41" s="14"/>
      <c r="E41" s="14"/>
      <c r="F41" s="14"/>
      <c r="G41" s="275"/>
      <c r="H41" s="14"/>
      <c r="O41" s="256">
        <f>M41-N41+[7]固定項目!O53</f>
        <v>0</v>
      </c>
      <c r="P41" s="251">
        <f t="shared" si="2"/>
        <v>0</v>
      </c>
    </row>
    <row r="42" spans="1:16" ht="21" customHeight="1">
      <c r="A42" s="233"/>
      <c r="B42" s="236" t="s">
        <v>207</v>
      </c>
      <c r="C42" s="14"/>
      <c r="D42" s="14"/>
      <c r="E42" s="14"/>
      <c r="F42" s="14"/>
      <c r="G42" s="275"/>
      <c r="H42" s="14"/>
      <c r="O42" s="256">
        <f>M42-N42+[7]固定項目!O54</f>
        <v>0</v>
      </c>
      <c r="P42" s="251">
        <f t="shared" si="2"/>
        <v>0</v>
      </c>
    </row>
    <row r="43" spans="1:16" ht="12.75" hidden="1" customHeight="1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4.25"/>
  <cols>
    <col min="1" max="1" width="47.42578125" customWidth="1"/>
    <col min="2" max="2" width="60.7109375" customWidth="1"/>
    <col min="3" max="3" width="21.42578125" style="183" bestFit="1" customWidth="1"/>
    <col min="4" max="5" width="11.5703125" style="164" customWidth="1"/>
    <col min="6" max="6" width="12.85546875" style="164" bestFit="1" customWidth="1"/>
    <col min="7" max="7" width="17.85546875" style="164" customWidth="1"/>
    <col min="8" max="8" width="9.5703125" customWidth="1"/>
  </cols>
  <sheetData>
    <row r="1" spans="1:8">
      <c r="A1" s="607" t="s">
        <v>147</v>
      </c>
      <c r="B1" s="607"/>
    </row>
    <row r="2" spans="1:8">
      <c r="A2" s="608" t="s">
        <v>148</v>
      </c>
      <c r="B2" s="607"/>
    </row>
    <row r="3" spans="1:8">
      <c r="A3" s="607" t="s">
        <v>149</v>
      </c>
      <c r="B3" s="607"/>
    </row>
    <row r="4" spans="1:8" ht="28.5">
      <c r="A4" s="607" t="s">
        <v>150</v>
      </c>
      <c r="B4" s="607"/>
      <c r="C4" s="184" t="s">
        <v>182</v>
      </c>
      <c r="D4" s="196" t="s">
        <v>183</v>
      </c>
      <c r="E4" s="164" t="s">
        <v>185</v>
      </c>
      <c r="F4" s="196" t="s">
        <v>184</v>
      </c>
    </row>
    <row r="5" spans="1:8">
      <c r="A5" s="608" t="s">
        <v>151</v>
      </c>
      <c r="B5" s="607"/>
      <c r="C5" s="185" t="str">
        <f>VLOOKUP("應付費用",平衡!$N$13:$U$64,4,0)</f>
        <v>210204</v>
      </c>
      <c r="D5" s="186">
        <f>縣庫對帳!P6</f>
        <v>0</v>
      </c>
      <c r="E5" s="186">
        <v>40000</v>
      </c>
      <c r="F5" s="186">
        <f>庫款差額!C8+庫款差額!C15-庫款差額!C18-庫款差額!C21</f>
        <v>0</v>
      </c>
    </row>
    <row r="6" spans="1:8" ht="15" thickBot="1">
      <c r="A6" s="605" t="s">
        <v>152</v>
      </c>
      <c r="B6" s="606"/>
      <c r="C6" s="183" t="s">
        <v>166</v>
      </c>
      <c r="D6" s="198">
        <f>VLOOKUP("銀行存款-縣庫存款",平衡!$E$13:$H$41,4,0)+VLOOKUP("零用及週轉金",平衡!$D$13:$H$41,5,0)</f>
        <v>1883483</v>
      </c>
      <c r="E6" s="198" t="e">
        <f>VLOOKUP("基金餘額",平衡!$K$13:$U$64,7,0)+C5</f>
        <v>#N/A</v>
      </c>
      <c r="F6" s="169" t="s">
        <v>165</v>
      </c>
    </row>
    <row r="7" spans="1:8" ht="15" thickBot="1">
      <c r="A7" s="605" t="s">
        <v>153</v>
      </c>
      <c r="B7" s="606"/>
      <c r="C7" s="183" t="s">
        <v>167</v>
      </c>
      <c r="D7" s="198">
        <f>VLOOKUP("銀行存款-專戶存款",平衡!$E$13:$H$41,4,0)+VLOOKUP("其他預付款",平衡!$D$13:$H$41,5,0)</f>
        <v>8994843</v>
      </c>
      <c r="E7" s="198">
        <f>VLOOKUP("應付代收款",平衡!$N$13:$U$41,7,0)+VLOOKUP("存入保證金",平衡!$N$13:$U$41,7,0)</f>
        <v>8994843</v>
      </c>
      <c r="F7" s="169" t="s">
        <v>168</v>
      </c>
    </row>
    <row r="8" spans="1:8" ht="20.25" thickBot="1">
      <c r="A8" s="80" t="s">
        <v>127</v>
      </c>
      <c r="B8" s="81" t="s">
        <v>128</v>
      </c>
      <c r="C8" s="183" t="s">
        <v>164</v>
      </c>
      <c r="D8" s="199">
        <f>VLOOKUP("合計：",平衡!$A$13:$H$41,8,0)</f>
        <v>51916595</v>
      </c>
      <c r="E8" s="199">
        <f>VLOOKUP("合計：",平衡!$K$13:$U$41,10,0)</f>
        <v>51916595</v>
      </c>
    </row>
    <row r="9" spans="1:8" ht="17.25" thickBot="1">
      <c r="A9" s="76" t="s">
        <v>129</v>
      </c>
      <c r="B9" s="77" t="s">
        <v>130</v>
      </c>
      <c r="C9" s="183" t="s">
        <v>171</v>
      </c>
      <c r="D9" s="199">
        <f>VLOOKUP("基金用途",餘絀表!$C$16:$T$45,18,0)</f>
        <v>35674806</v>
      </c>
      <c r="E9" s="199">
        <f>VLOOKUP("合       計",各項費用!$D$12:$Q$86,14)</f>
        <v>35674806</v>
      </c>
      <c r="F9" s="199">
        <f>縣庫對帳!P3</f>
        <v>35674806</v>
      </c>
    </row>
    <row r="10" spans="1:8" ht="33.75" thickBot="1">
      <c r="A10" s="76" t="s">
        <v>131</v>
      </c>
      <c r="B10" s="77" t="s">
        <v>132</v>
      </c>
      <c r="C10" s="183" t="s">
        <v>330</v>
      </c>
      <c r="D10" s="199">
        <f>VLOOKUP("基金來源",餘絀表!$C$16:$T$45,18,0)</f>
        <v>35071927</v>
      </c>
      <c r="E10" s="199">
        <f>縣庫對帳!N3</f>
        <v>35071927</v>
      </c>
      <c r="F10" s="199"/>
      <c r="G10" s="199"/>
      <c r="H10" s="164">
        <f>D13-E13</f>
        <v>0</v>
      </c>
    </row>
    <row r="11" spans="1:8" ht="27" customHeight="1">
      <c r="A11" s="600" t="s">
        <v>27</v>
      </c>
      <c r="B11" s="600" t="s">
        <v>133</v>
      </c>
      <c r="C11" s="183" t="s">
        <v>341</v>
      </c>
      <c r="D11" s="199">
        <f>VLOOKUP("政府撥入收入",餘絀表!$C$16:$T$45,18,0)</f>
        <v>35023827</v>
      </c>
      <c r="E11" s="199"/>
      <c r="F11" s="199">
        <f>VLOOKUP("政府撥入收入",收支!$B$14:$N$61,13,0)</f>
        <v>35023827</v>
      </c>
      <c r="G11" s="199">
        <f>VLOOKUP("政府撥入收入",對照表!$B$1:$E$28,4,0)</f>
        <v>35023827</v>
      </c>
    </row>
    <row r="12" spans="1:8" ht="28.5">
      <c r="A12" s="603"/>
      <c r="B12" s="603"/>
      <c r="C12" s="183" t="s">
        <v>342</v>
      </c>
      <c r="D12" s="199"/>
      <c r="E12" s="199"/>
      <c r="F12" s="199">
        <f>VLOOKUP("收入",收支!$A$14:$N$61,14,0)</f>
        <v>38804593</v>
      </c>
      <c r="G12" s="199">
        <f>VLOOKUP("基金來源",對照表!$A$1:$E$28,5,0)</f>
        <v>38804593</v>
      </c>
    </row>
    <row r="13" spans="1:8">
      <c r="A13" s="603"/>
      <c r="B13" s="603"/>
      <c r="C13" s="183" t="s">
        <v>327</v>
      </c>
      <c r="D13" s="199">
        <f>IF(封面!J10=12,0,VLOOKUP($G$13,平衡!$N$13:$U$41,7,0))</f>
        <v>0</v>
      </c>
      <c r="E13" s="199">
        <f>IF(封面!J10=12,0,VLOOKUP("本期賸餘（短絀）",收支!$A$14:$N$36,14,0))</f>
        <v>0</v>
      </c>
      <c r="F13" s="199">
        <f>IF(封面!K10=12,0,VLOOKUP("本期賸餘(短絀)",對照表!$A$1:$E$28,5,0))</f>
        <v>248151</v>
      </c>
      <c r="G13" s="197" t="str">
        <f>IF(E13&gt;=0,"本期賸餘","本期短絀")</f>
        <v>本期賸餘</v>
      </c>
    </row>
    <row r="14" spans="1:8">
      <c r="A14" s="603"/>
      <c r="B14" s="603"/>
      <c r="C14" s="183" t="s">
        <v>328</v>
      </c>
      <c r="D14" s="199">
        <f>IF(封面!J10=12,0,VLOOKUP("本期賸餘(短絀－)",餘絀表!$C$16:$T$48,18,0))</f>
        <v>0</v>
      </c>
      <c r="E14" s="199"/>
      <c r="F14" s="199">
        <f>IF(封面!K11=12,0,VLOOKUP("本期賸餘(短絀)",對照表!$A$1:$C$28,3,0))</f>
        <v>-602879</v>
      </c>
      <c r="G14" s="197"/>
    </row>
    <row r="15" spans="1:8">
      <c r="A15" s="603"/>
      <c r="B15" s="603"/>
      <c r="C15" s="183" t="s">
        <v>329</v>
      </c>
      <c r="D15" s="199">
        <f>IF(封面!J12=12,0,VLOOKUP($G$15,平衡!$K$13:$U$41,10,0))</f>
        <v>42779832</v>
      </c>
      <c r="E15" s="199" t="e">
        <f>IF(封面!J12=12,0,VLOOKUP("期末淨資產",收支!$A$14:$N$36,14,0))</f>
        <v>#N/A</v>
      </c>
      <c r="F15" s="199" t="e">
        <f>IF(封面!K12=12,0,VLOOKUP("期末基金餘額",對照表!$A$1:$E$28,5,0))</f>
        <v>#N/A</v>
      </c>
      <c r="G15" s="197" t="s">
        <v>329</v>
      </c>
    </row>
    <row r="16" spans="1:8" ht="15" thickBot="1">
      <c r="A16" s="604"/>
      <c r="B16" s="604"/>
      <c r="C16" s="183" t="s">
        <v>156</v>
      </c>
      <c r="D16" s="199">
        <f>VLOOKUP("國民教育計畫",主要業務!$B$15:$J$24,7,0)</f>
        <v>727768</v>
      </c>
      <c r="E16" s="199">
        <f>VLOOKUP("國民教育計畫",餘絀表!$C$16:$T$45,9,0)</f>
        <v>0</v>
      </c>
    </row>
    <row r="17" spans="1:8">
      <c r="A17" s="600" t="s">
        <v>145</v>
      </c>
      <c r="B17" s="600" t="s">
        <v>134</v>
      </c>
      <c r="C17" s="183" t="s">
        <v>157</v>
      </c>
      <c r="D17" s="199">
        <f>主要業務!H17</f>
        <v>35674806</v>
      </c>
      <c r="E17" s="199">
        <f>VLOOKUP("國民教育計畫",餘絀表!$C$16:$T$45,18,0)</f>
        <v>35674806</v>
      </c>
    </row>
    <row r="18" spans="1:8">
      <c r="A18" s="601"/>
      <c r="B18" s="603"/>
      <c r="C18" s="183" t="s">
        <v>158</v>
      </c>
      <c r="D18" s="199">
        <f>主要業務!H20</f>
        <v>0</v>
      </c>
      <c r="E18" s="199" t="e">
        <f>VLOOKUP("建築及設備計畫",餘絀表!$C$16:$T$45,9,0)</f>
        <v>#N/A</v>
      </c>
    </row>
    <row r="19" spans="1:8">
      <c r="A19" s="601"/>
      <c r="B19" s="603"/>
      <c r="C19" s="183" t="s">
        <v>159</v>
      </c>
      <c r="D19" s="199">
        <f>主要業務!H22</f>
        <v>0</v>
      </c>
      <c r="E19" s="199" t="e">
        <f>VLOOKUP("建築及設備計畫",餘絀表!$C$16:$T$45,18,0)</f>
        <v>#N/A</v>
      </c>
    </row>
    <row r="20" spans="1:8">
      <c r="A20" s="601"/>
      <c r="B20" s="603"/>
      <c r="C20" s="183" t="s">
        <v>331</v>
      </c>
      <c r="D20" s="199">
        <f>VLOOKUP("用人費用",各項費用!$F$12:$Q$100,12,0)</f>
        <v>34075176</v>
      </c>
      <c r="E20" s="199">
        <f>VLOOKUP("人事支出",收支!$B$14:$N$61,13,0)</f>
        <v>34075176</v>
      </c>
      <c r="F20" s="199">
        <f>VLOOKUP("用人費用",對照表!$B$1:$E$28,4,0)</f>
        <v>34075176</v>
      </c>
    </row>
    <row r="21" spans="1:8">
      <c r="A21" s="601"/>
      <c r="B21" s="603"/>
      <c r="C21" s="183" t="s">
        <v>332</v>
      </c>
      <c r="D21" s="199">
        <f>IF(E21=0,0,資產!F10+H21)</f>
        <v>2967676</v>
      </c>
      <c r="E21" s="199">
        <f>VLOOKUP("折舊、折耗及攤銷",收支!$B$14:$N$61,13,0)</f>
        <v>2876984</v>
      </c>
      <c r="F21" s="199">
        <f>VLOOKUP("折舊、折耗及攤銷",對照表!$H$1:$J$28,3,0)</f>
        <v>2876984</v>
      </c>
      <c r="G21" s="460" t="s">
        <v>343</v>
      </c>
      <c r="H21" s="461">
        <f>464532-4645</f>
        <v>459887</v>
      </c>
    </row>
    <row r="22" spans="1:8">
      <c r="A22" s="601"/>
      <c r="B22" s="603"/>
      <c r="C22" s="183" t="s">
        <v>303</v>
      </c>
      <c r="D22" s="198">
        <v>0</v>
      </c>
      <c r="E22" s="198"/>
      <c r="F22" s="168"/>
    </row>
    <row r="23" spans="1:8">
      <c r="A23" s="601"/>
      <c r="B23" s="603"/>
      <c r="C23" s="183" t="s">
        <v>304</v>
      </c>
      <c r="D23" s="198">
        <f>D28-D22-D24-D25-D26-D27</f>
        <v>-5</v>
      </c>
      <c r="E23" s="198"/>
      <c r="F23" s="168" t="s">
        <v>305</v>
      </c>
    </row>
    <row r="24" spans="1:8">
      <c r="A24" s="601"/>
      <c r="B24" s="603"/>
      <c r="C24" s="183" t="s">
        <v>306</v>
      </c>
      <c r="D24" s="198"/>
      <c r="E24" s="198"/>
      <c r="F24" s="168" t="s">
        <v>307</v>
      </c>
    </row>
    <row r="25" spans="1:8">
      <c r="A25" s="601"/>
      <c r="B25" s="603"/>
      <c r="C25" s="183" t="s">
        <v>308</v>
      </c>
      <c r="D25" s="198">
        <v>0</v>
      </c>
      <c r="E25" s="198"/>
      <c r="F25" s="168"/>
    </row>
    <row r="26" spans="1:8" ht="15" thickBot="1">
      <c r="A26" s="602"/>
      <c r="B26" s="604"/>
      <c r="C26" s="183" t="s">
        <v>309</v>
      </c>
      <c r="D26" s="198"/>
      <c r="E26" s="198"/>
      <c r="F26" s="168"/>
      <c r="H26" s="166"/>
    </row>
    <row r="27" spans="1:8" ht="33.75" thickBot="1">
      <c r="A27" s="76" t="s">
        <v>135</v>
      </c>
      <c r="B27" s="77" t="s">
        <v>146</v>
      </c>
      <c r="C27" s="183" t="s">
        <v>310</v>
      </c>
      <c r="D27" s="198">
        <v>5</v>
      </c>
      <c r="E27" s="198"/>
      <c r="F27" s="168"/>
    </row>
    <row r="28" spans="1:8" ht="33.75" thickBot="1">
      <c r="A28" s="76" t="s">
        <v>69</v>
      </c>
      <c r="B28" s="77" t="s">
        <v>136</v>
      </c>
      <c r="C28" s="183" t="s">
        <v>311</v>
      </c>
      <c r="D28" s="198"/>
      <c r="E28" s="198"/>
      <c r="F28" s="168" t="s">
        <v>312</v>
      </c>
    </row>
    <row r="29" spans="1:8" ht="17.25" thickBot="1">
      <c r="A29" s="76" t="s">
        <v>137</v>
      </c>
      <c r="B29" s="77" t="s">
        <v>138</v>
      </c>
      <c r="D29" s="186"/>
      <c r="E29" s="186"/>
    </row>
    <row r="30" spans="1:8">
      <c r="A30" s="600" t="s">
        <v>139</v>
      </c>
      <c r="B30" s="600" t="s">
        <v>140</v>
      </c>
      <c r="D30" s="199"/>
      <c r="E30" s="199"/>
      <c r="F30" s="186"/>
    </row>
    <row r="31" spans="1:8">
      <c r="A31" s="603"/>
      <c r="B31" s="603"/>
      <c r="D31" s="199"/>
      <c r="E31" s="199"/>
      <c r="F31" s="186"/>
    </row>
    <row r="32" spans="1:8" ht="15" thickBot="1">
      <c r="A32" s="602"/>
      <c r="B32" s="602"/>
      <c r="D32" s="199"/>
      <c r="E32" s="199"/>
      <c r="F32" s="186"/>
    </row>
    <row r="33" spans="1:2" ht="15" thickBot="1">
      <c r="A33" s="200"/>
      <c r="B33" s="200"/>
    </row>
    <row r="34" spans="1:2" ht="15" thickBot="1">
      <c r="A34" s="200"/>
      <c r="B34" s="200"/>
    </row>
    <row r="35" spans="1:2" ht="15" thickBot="1">
      <c r="A35" s="200"/>
      <c r="B35" s="200"/>
    </row>
    <row r="36" spans="1:2" ht="20.25" thickBot="1">
      <c r="A36" s="75"/>
      <c r="B36" s="75"/>
    </row>
    <row r="37" spans="1:2" ht="20.25" thickBot="1">
      <c r="A37" s="78" t="s">
        <v>127</v>
      </c>
      <c r="B37" s="79" t="s">
        <v>141</v>
      </c>
    </row>
    <row r="38" spans="1:2" ht="17.25" thickBot="1">
      <c r="A38" s="152" t="s">
        <v>142</v>
      </c>
      <c r="B38" s="77" t="s">
        <v>162</v>
      </c>
    </row>
    <row r="39" spans="1:2" ht="33.75" thickBot="1">
      <c r="A39" s="152" t="s">
        <v>129</v>
      </c>
      <c r="B39" s="77" t="s">
        <v>163</v>
      </c>
    </row>
    <row r="40" spans="1:2" ht="17.25" thickBot="1">
      <c r="A40" s="152" t="s">
        <v>143</v>
      </c>
      <c r="B40" s="77" t="s">
        <v>144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10" type="noConversion"/>
  <conditionalFormatting sqref="D16:E16 E18:E19">
    <cfRule type="expression" dxfId="83" priority="71" stopIfTrue="1">
      <formula>$D$16&lt;&gt;$E$16</formula>
    </cfRule>
  </conditionalFormatting>
  <conditionalFormatting sqref="D32:E32">
    <cfRule type="expression" dxfId="82" priority="64" stopIfTrue="1">
      <formula>$D$32&lt;&gt;$E$32</formula>
    </cfRule>
  </conditionalFormatting>
  <conditionalFormatting sqref="D17:E17">
    <cfRule type="expression" dxfId="81" priority="62" stopIfTrue="1">
      <formula>$D17&lt;&gt;$E17</formula>
    </cfRule>
  </conditionalFormatting>
  <conditionalFormatting sqref="D18:E18 E19">
    <cfRule type="expression" dxfId="80" priority="61" stopIfTrue="1">
      <formula>$D$18&lt;&gt;$E$18</formula>
    </cfRule>
  </conditionalFormatting>
  <conditionalFormatting sqref="E28">
    <cfRule type="expression" dxfId="79" priority="55" stopIfTrue="1">
      <formula>$D$30&lt;&gt;$E$30</formula>
    </cfRule>
  </conditionalFormatting>
  <conditionalFormatting sqref="E29">
    <cfRule type="expression" dxfId="78" priority="54" stopIfTrue="1">
      <formula>$F$31&lt;&gt;0</formula>
    </cfRule>
  </conditionalFormatting>
  <conditionalFormatting sqref="E30">
    <cfRule type="expression" dxfId="77" priority="51" stopIfTrue="1">
      <formula>$D$30&lt;&gt;$E$30</formula>
    </cfRule>
  </conditionalFormatting>
  <conditionalFormatting sqref="E31">
    <cfRule type="expression" dxfId="76" priority="50" stopIfTrue="1">
      <formula>$F$31&lt;&gt;0</formula>
    </cfRule>
  </conditionalFormatting>
  <conditionalFormatting sqref="D27 D22:E23">
    <cfRule type="expression" dxfId="75" priority="48" stopIfTrue="1">
      <formula>$D23&lt;&gt;$E23</formula>
    </cfRule>
  </conditionalFormatting>
  <conditionalFormatting sqref="E28">
    <cfRule type="expression" dxfId="74" priority="47" stopIfTrue="1">
      <formula>$D$30&lt;&gt;$E$30</formula>
    </cfRule>
  </conditionalFormatting>
  <conditionalFormatting sqref="E28">
    <cfRule type="expression" dxfId="73" priority="46" stopIfTrue="1">
      <formula>$D28&lt;&gt;$E28</formula>
    </cfRule>
  </conditionalFormatting>
  <conditionalFormatting sqref="D28">
    <cfRule type="expression" dxfId="72" priority="45" stopIfTrue="1">
      <formula>$D28&lt;&gt;$E28</formula>
    </cfRule>
  </conditionalFormatting>
  <conditionalFormatting sqref="D24:D26">
    <cfRule type="expression" dxfId="71" priority="44" stopIfTrue="1">
      <formula>$D24&lt;&gt;$E24</formula>
    </cfRule>
  </conditionalFormatting>
  <conditionalFormatting sqref="D27">
    <cfRule type="expression" dxfId="70" priority="43" stopIfTrue="1">
      <formula>$D27&lt;&gt;$E27</formula>
    </cfRule>
  </conditionalFormatting>
  <conditionalFormatting sqref="D14 F14:F15">
    <cfRule type="expression" dxfId="69" priority="42">
      <formula>$D$14&lt;&gt;$F$14</formula>
    </cfRule>
  </conditionalFormatting>
  <conditionalFormatting sqref="F15">
    <cfRule type="expression" dxfId="68" priority="34">
      <formula>$E$15&lt;&gt;$F$15</formula>
    </cfRule>
    <cfRule type="expression" dxfId="67" priority="35">
      <formula>$D$15&lt;&gt;$F$15</formula>
    </cfRule>
    <cfRule type="expression" dxfId="66" priority="40">
      <formula>$D$14&lt;&gt;$F$14</formula>
    </cfRule>
  </conditionalFormatting>
  <conditionalFormatting sqref="D15">
    <cfRule type="expression" dxfId="65" priority="38">
      <formula>$D$15&lt;&gt;$F$15</formula>
    </cfRule>
    <cfRule type="expression" dxfId="64" priority="39">
      <formula>$D$15&lt;&gt;$E$15</formula>
    </cfRule>
  </conditionalFormatting>
  <conditionalFormatting sqref="E15">
    <cfRule type="expression" dxfId="63" priority="36">
      <formula>$E$15&lt;&gt;$F$15</formula>
    </cfRule>
    <cfRule type="expression" dxfId="62" priority="37">
      <formula>$D$15&lt;&gt;$E$15</formula>
    </cfRule>
  </conditionalFormatting>
  <conditionalFormatting sqref="D7:E7">
    <cfRule type="expression" dxfId="61" priority="33">
      <formula>$D$7&lt;&gt;$E$7</formula>
    </cfRule>
  </conditionalFormatting>
  <conditionalFormatting sqref="D8:E8">
    <cfRule type="expression" dxfId="60" priority="32">
      <formula>$D$8&lt;&gt;$E$8</formula>
    </cfRule>
  </conditionalFormatting>
  <conditionalFormatting sqref="E16:E17">
    <cfRule type="expression" dxfId="59" priority="74" stopIfTrue="1">
      <formula>#REF!&lt;&gt;#REF!</formula>
    </cfRule>
  </conditionalFormatting>
  <conditionalFormatting sqref="E18:E19">
    <cfRule type="expression" dxfId="58" priority="95" stopIfTrue="1">
      <formula>#REF!&lt;&gt;#REF!</formula>
    </cfRule>
  </conditionalFormatting>
  <conditionalFormatting sqref="E6:E7">
    <cfRule type="expression" dxfId="57" priority="97" stopIfTrue="1">
      <formula>$D13&lt;&gt;$F13</formula>
    </cfRule>
  </conditionalFormatting>
  <conditionalFormatting sqref="D20:F20">
    <cfRule type="expression" dxfId="56" priority="16">
      <formula>$D$20&lt;&gt;$E$20</formula>
    </cfRule>
  </conditionalFormatting>
  <conditionalFormatting sqref="D20:F20">
    <cfRule type="expression" dxfId="55" priority="15">
      <formula>$E$20&lt;&gt;$F$20</formula>
    </cfRule>
  </conditionalFormatting>
  <conditionalFormatting sqref="D21:F21">
    <cfRule type="expression" dxfId="54" priority="10">
      <formula>$D$21&lt;&gt;$E$21</formula>
    </cfRule>
  </conditionalFormatting>
  <conditionalFormatting sqref="D21:F21">
    <cfRule type="expression" dxfId="53" priority="9">
      <formula>$D$21&lt;&gt;$F$21</formula>
    </cfRule>
  </conditionalFormatting>
  <conditionalFormatting sqref="D9:F9">
    <cfRule type="expression" dxfId="52" priority="6">
      <formula>$D$9&lt;&gt;$F$9</formula>
    </cfRule>
    <cfRule type="expression" dxfId="51" priority="7">
      <formula>$D$9&lt;&gt;$E$9</formula>
    </cfRule>
  </conditionalFormatting>
  <conditionalFormatting sqref="D10:G10">
    <cfRule type="expression" dxfId="50" priority="3">
      <formula>$D$10&lt;&gt;$E$10</formula>
    </cfRule>
  </conditionalFormatting>
  <conditionalFormatting sqref="F12:G12">
    <cfRule type="expression" dxfId="49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CG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48" customWidth="1"/>
    <col min="2" max="2" width="11.7109375" style="48" customWidth="1"/>
    <col min="3" max="3" width="9.140625" style="31"/>
    <col min="4" max="4" width="8.42578125" style="31" customWidth="1"/>
    <col min="5" max="5" width="5.85546875" style="31" customWidth="1"/>
    <col min="6" max="6" width="3.28515625" style="31" customWidth="1"/>
    <col min="7" max="7" width="7.28515625" style="31" customWidth="1"/>
    <col min="8" max="8" width="4.42578125" style="31" customWidth="1"/>
    <col min="9" max="9" width="9.140625" style="31"/>
    <col min="10" max="10" width="8.7109375" style="31" customWidth="1"/>
    <col min="11" max="12" width="5.7109375" style="31" customWidth="1"/>
    <col min="13" max="14" width="8" style="31" customWidth="1"/>
    <col min="15" max="15" width="6.140625" style="31" customWidth="1"/>
    <col min="16" max="16" width="8" style="31" customWidth="1"/>
    <col min="17" max="17" width="6.85546875" style="31" customWidth="1"/>
    <col min="18" max="18" width="3.85546875" style="31" customWidth="1"/>
    <col min="19" max="19" width="21.85546875" style="31" customWidth="1"/>
    <col min="20" max="16384" width="9.140625" style="31"/>
  </cols>
  <sheetData>
    <row r="1" spans="1:85" ht="19.5">
      <c r="A1" s="873" t="s">
        <v>86</v>
      </c>
      <c r="B1" s="874"/>
      <c r="C1" s="874"/>
      <c r="D1" s="874"/>
      <c r="E1" s="874"/>
      <c r="F1" s="874"/>
      <c r="G1" s="874"/>
      <c r="H1" s="874"/>
      <c r="I1" s="874"/>
      <c r="J1" s="874"/>
      <c r="K1" s="874"/>
      <c r="L1" s="874"/>
      <c r="M1" s="874"/>
      <c r="N1" s="874"/>
      <c r="O1" s="874"/>
      <c r="P1" s="874"/>
      <c r="Q1" s="874"/>
      <c r="R1" s="875"/>
    </row>
    <row r="2" spans="1:85">
      <c r="A2" s="876" t="str">
        <f>"茲列出 貴機關"&amp;封面!H10&amp;封面!J10&amp;"01至"&amp;封面!H10&amp;封面!J10&amp;封面!O10&amp;"歲出分配餘額暨支付明細，送請詳加核對"</f>
        <v>茲列出 貴機關1111201至1111231歲出分配餘額暨支付明細，送請詳加核對</v>
      </c>
      <c r="B2" s="877"/>
      <c r="C2" s="877"/>
      <c r="D2" s="877"/>
      <c r="E2" s="877"/>
      <c r="F2" s="877"/>
      <c r="G2" s="877"/>
      <c r="H2" s="877"/>
      <c r="I2" s="877"/>
      <c r="J2" s="877"/>
      <c r="K2" s="877"/>
      <c r="L2" s="877"/>
      <c r="M2" s="877"/>
      <c r="N2" s="877"/>
      <c r="O2" s="877"/>
      <c r="P2" s="877"/>
      <c r="Q2" s="877"/>
      <c r="R2" s="878"/>
    </row>
    <row r="3" spans="1:85">
      <c r="A3" s="879" t="s">
        <v>87</v>
      </c>
      <c r="B3" s="880"/>
      <c r="C3" s="880"/>
      <c r="D3" s="880"/>
      <c r="E3" s="880"/>
      <c r="F3" s="880"/>
      <c r="G3" s="880"/>
      <c r="H3" s="880"/>
      <c r="I3" s="880"/>
      <c r="J3" s="880"/>
      <c r="K3" s="880"/>
      <c r="L3" s="880"/>
      <c r="M3" s="880"/>
      <c r="N3" s="880"/>
      <c r="O3" s="880"/>
      <c r="P3" s="880"/>
      <c r="Q3" s="880"/>
      <c r="R3" s="881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848" t="s">
        <v>88</v>
      </c>
      <c r="D5" s="848"/>
      <c r="E5" s="848"/>
      <c r="F5" s="848"/>
      <c r="G5" s="848"/>
      <c r="H5" s="848" t="s">
        <v>89</v>
      </c>
      <c r="I5" s="848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90</v>
      </c>
      <c r="C6" s="872"/>
      <c r="D6" s="851"/>
      <c r="E6" s="851"/>
      <c r="F6" s="870" t="s">
        <v>91</v>
      </c>
      <c r="G6" s="846"/>
      <c r="H6" s="846"/>
      <c r="I6" s="846"/>
      <c r="J6" s="846"/>
      <c r="K6" s="846"/>
      <c r="L6" s="33"/>
      <c r="M6" s="33"/>
      <c r="N6" s="33"/>
      <c r="O6" s="33"/>
      <c r="P6" s="33"/>
      <c r="Q6" s="33"/>
      <c r="R6" s="40"/>
    </row>
    <row r="7" spans="1:85">
      <c r="A7" s="38"/>
      <c r="B7" s="870" t="s">
        <v>92</v>
      </c>
      <c r="C7" s="870"/>
      <c r="D7" s="870"/>
      <c r="E7" s="870"/>
      <c r="F7" s="870"/>
      <c r="G7" s="870"/>
      <c r="H7" s="870"/>
      <c r="I7" s="870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870" t="s">
        <v>93</v>
      </c>
      <c r="C8" s="870"/>
      <c r="D8" s="870"/>
      <c r="E8" s="870"/>
      <c r="F8" s="870"/>
      <c r="G8" s="870"/>
      <c r="H8" s="870"/>
      <c r="I8" s="870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94</v>
      </c>
      <c r="B9" s="852" t="s">
        <v>95</v>
      </c>
      <c r="C9" s="852"/>
      <c r="D9" s="852"/>
      <c r="E9" s="852"/>
      <c r="F9" s="852"/>
      <c r="G9" s="852"/>
      <c r="H9" s="852"/>
      <c r="I9" s="852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871" t="s">
        <v>96</v>
      </c>
      <c r="B10" s="848"/>
      <c r="C10" s="848"/>
      <c r="D10" s="849"/>
      <c r="E10" s="847" t="s">
        <v>97</v>
      </c>
      <c r="F10" s="849"/>
      <c r="G10" s="847" t="s">
        <v>98</v>
      </c>
      <c r="H10" s="849"/>
      <c r="I10" s="847" t="s">
        <v>99</v>
      </c>
      <c r="J10" s="849"/>
      <c r="K10" s="847" t="s">
        <v>74</v>
      </c>
      <c r="L10" s="849"/>
      <c r="M10" s="847" t="s">
        <v>100</v>
      </c>
      <c r="N10" s="848"/>
      <c r="O10" s="848"/>
      <c r="P10" s="848"/>
      <c r="Q10" s="848"/>
      <c r="R10" s="849"/>
    </row>
    <row r="11" spans="1:85" ht="52.5" customHeight="1">
      <c r="A11" s="841" t="s">
        <v>101</v>
      </c>
      <c r="B11" s="842"/>
      <c r="C11" s="842"/>
      <c r="D11" s="843"/>
      <c r="E11" s="863" t="s">
        <v>102</v>
      </c>
      <c r="F11" s="864"/>
      <c r="G11" s="837">
        <v>1053704</v>
      </c>
      <c r="H11" s="838"/>
      <c r="I11" s="837">
        <v>365251010501182</v>
      </c>
      <c r="J11" s="838"/>
      <c r="K11" s="839">
        <v>26000</v>
      </c>
      <c r="L11" s="840"/>
      <c r="M11" s="841" t="s">
        <v>103</v>
      </c>
      <c r="N11" s="842"/>
      <c r="O11" s="842"/>
      <c r="P11" s="842"/>
      <c r="Q11" s="842"/>
      <c r="R11" s="843"/>
      <c r="S11" s="45" t="s">
        <v>104</v>
      </c>
    </row>
    <row r="12" spans="1:85" ht="54" customHeight="1">
      <c r="A12" s="841" t="s">
        <v>105</v>
      </c>
      <c r="B12" s="842"/>
      <c r="C12" s="842"/>
      <c r="D12" s="843"/>
      <c r="E12" s="863" t="s">
        <v>106</v>
      </c>
      <c r="F12" s="864"/>
      <c r="G12" s="837">
        <v>1050843</v>
      </c>
      <c r="H12" s="838"/>
      <c r="I12" s="837">
        <v>365251010500989</v>
      </c>
      <c r="J12" s="838"/>
      <c r="K12" s="839">
        <v>129310</v>
      </c>
      <c r="L12" s="840"/>
      <c r="M12" s="841" t="s">
        <v>107</v>
      </c>
      <c r="N12" s="842"/>
      <c r="O12" s="842"/>
      <c r="P12" s="842"/>
      <c r="Q12" s="842"/>
      <c r="R12" s="843"/>
    </row>
    <row r="13" spans="1:85" ht="52.5" customHeight="1">
      <c r="A13" s="841" t="s">
        <v>108</v>
      </c>
      <c r="B13" s="842"/>
      <c r="C13" s="842"/>
      <c r="D13" s="843"/>
      <c r="E13" s="863" t="s">
        <v>102</v>
      </c>
      <c r="F13" s="864"/>
      <c r="G13" s="837">
        <v>1053632</v>
      </c>
      <c r="H13" s="838"/>
      <c r="I13" s="837">
        <v>365251010501170</v>
      </c>
      <c r="J13" s="838"/>
      <c r="K13" s="839">
        <v>12925</v>
      </c>
      <c r="L13" s="840"/>
      <c r="M13" s="841" t="s">
        <v>109</v>
      </c>
      <c r="N13" s="842"/>
      <c r="O13" s="842"/>
      <c r="P13" s="842"/>
      <c r="Q13" s="842"/>
      <c r="R13" s="843"/>
    </row>
    <row r="14" spans="1:85">
      <c r="A14" s="865"/>
      <c r="B14" s="866"/>
      <c r="C14" s="866"/>
      <c r="D14" s="867"/>
      <c r="E14" s="868"/>
      <c r="F14" s="869"/>
      <c r="G14" s="844"/>
      <c r="H14" s="845"/>
      <c r="I14" s="844"/>
      <c r="J14" s="845"/>
      <c r="K14" s="856"/>
      <c r="L14" s="857"/>
      <c r="M14" s="858"/>
      <c r="N14" s="859"/>
      <c r="O14" s="859"/>
      <c r="P14" s="859"/>
      <c r="Q14" s="859"/>
      <c r="R14" s="860"/>
    </row>
    <row r="15" spans="1:85">
      <c r="A15" s="847" t="s">
        <v>110</v>
      </c>
      <c r="B15" s="848"/>
      <c r="C15" s="848"/>
      <c r="D15" s="848"/>
      <c r="E15" s="848"/>
      <c r="F15" s="848"/>
      <c r="G15" s="848"/>
      <c r="H15" s="848"/>
      <c r="I15" s="848"/>
      <c r="J15" s="848"/>
      <c r="K15" s="848"/>
      <c r="L15" s="848"/>
      <c r="M15" s="848"/>
      <c r="N15" s="848"/>
      <c r="O15" s="848"/>
      <c r="P15" s="848"/>
      <c r="Q15" s="848"/>
      <c r="R15" s="84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850" t="s">
        <v>111</v>
      </c>
      <c r="B16" s="851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112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852" t="s">
        <v>113</v>
      </c>
      <c r="D18" s="852"/>
      <c r="E18" s="43"/>
      <c r="F18" s="43"/>
      <c r="G18" s="42"/>
      <c r="H18" s="42"/>
      <c r="I18" s="852" t="s">
        <v>114</v>
      </c>
      <c r="J18" s="852"/>
      <c r="K18" s="852"/>
      <c r="L18" s="43"/>
      <c r="M18" s="43"/>
      <c r="N18" s="43"/>
      <c r="O18" s="43"/>
      <c r="P18" s="853">
        <f ca="1">NOW()</f>
        <v>45001.434277893517</v>
      </c>
      <c r="Q18" s="854"/>
      <c r="R18" s="85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851" t="s">
        <v>115</v>
      </c>
      <c r="B19" s="851"/>
      <c r="E19" s="861" t="s">
        <v>116</v>
      </c>
      <c r="F19" s="862"/>
      <c r="G19" s="862"/>
      <c r="K19" s="31" t="s">
        <v>117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846" t="s">
        <v>118</v>
      </c>
      <c r="B20" s="846"/>
      <c r="F20" s="846" t="s">
        <v>118</v>
      </c>
      <c r="G20" s="846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autoPageBreaks="0"/>
  </sheetPr>
  <dimension ref="A1:AA200"/>
  <sheetViews>
    <sheetView showGridLines="0" topLeftCell="A100" workbookViewId="0">
      <selection activeCell="Y115" sqref="Y115"/>
    </sheetView>
  </sheetViews>
  <sheetFormatPr defaultRowHeight="12.75" customHeight="1"/>
  <cols>
    <col min="1" max="1" width="3.140625" customWidth="1"/>
    <col min="2" max="2" width="21.140625" customWidth="1"/>
    <col min="3" max="3" width="7.42578125" customWidth="1"/>
    <col min="4" max="4" width="1.42578125" customWidth="1"/>
    <col min="5" max="5" width="11.85546875" customWidth="1"/>
    <col min="6" max="6" width="2.28515625" customWidth="1"/>
    <col min="7" max="7" width="11.28515625" customWidth="1"/>
    <col min="8" max="8" width="2" customWidth="1"/>
    <col min="9" max="9" width="12.85546875" customWidth="1"/>
    <col min="10" max="10" width="1.42578125" customWidth="1"/>
    <col min="11" max="11" width="11.5703125" customWidth="1"/>
    <col min="12" max="12" width="2.85546875" customWidth="1"/>
    <col min="13" max="13" width="1" customWidth="1"/>
    <col min="14" max="14" width="8" customWidth="1"/>
    <col min="15" max="15" width="2.28515625" customWidth="1"/>
    <col min="16" max="16" width="2.140625" customWidth="1"/>
    <col min="17" max="17" width="9.28515625" customWidth="1"/>
    <col min="18" max="18" width="4" customWidth="1"/>
    <col min="19" max="19" width="2.85546875" customWidth="1"/>
    <col min="20" max="20" width="12.5703125" customWidth="1"/>
    <col min="21" max="21" width="1" customWidth="1"/>
    <col min="22" max="22" width="1.140625" customWidth="1"/>
    <col min="23" max="23" width="2.85546875" customWidth="1"/>
    <col min="24" max="24" width="9.85546875" customWidth="1"/>
    <col min="25" max="25" width="9.5703125" style="581" customWidth="1"/>
    <col min="26" max="26" width="9.85546875" style="581" bestFit="1" customWidth="1"/>
    <col min="27" max="27" width="8.28515625" style="581" bestFit="1" customWidth="1"/>
    <col min="28" max="256" width="6.85546875" customWidth="1"/>
    <col min="257" max="257" width="3.140625" customWidth="1"/>
    <col min="258" max="258" width="21.140625" customWidth="1"/>
    <col min="259" max="259" width="7.42578125" customWidth="1"/>
    <col min="260" max="260" width="1.42578125" customWidth="1"/>
    <col min="261" max="261" width="11.85546875" customWidth="1"/>
    <col min="262" max="262" width="2.28515625" customWidth="1"/>
    <col min="263" max="263" width="11.28515625" customWidth="1"/>
    <col min="264" max="264" width="2" customWidth="1"/>
    <col min="265" max="265" width="12.85546875" customWidth="1"/>
    <col min="266" max="266" width="1.42578125" customWidth="1"/>
    <col min="267" max="267" width="11.5703125" customWidth="1"/>
    <col min="268" max="268" width="2.85546875" customWidth="1"/>
    <col min="269" max="269" width="1" customWidth="1"/>
    <col min="270" max="270" width="8" customWidth="1"/>
    <col min="271" max="271" width="2.28515625" customWidth="1"/>
    <col min="272" max="272" width="2.140625" customWidth="1"/>
    <col min="273" max="273" width="9.28515625" customWidth="1"/>
    <col min="274" max="274" width="4" customWidth="1"/>
    <col min="275" max="275" width="2.85546875" customWidth="1"/>
    <col min="276" max="276" width="12.5703125" customWidth="1"/>
    <col min="277" max="277" width="1" customWidth="1"/>
    <col min="278" max="278" width="1.140625" customWidth="1"/>
    <col min="279" max="279" width="2.85546875" customWidth="1"/>
    <col min="280" max="280" width="9.85546875" customWidth="1"/>
    <col min="281" max="512" width="6.85546875" customWidth="1"/>
    <col min="513" max="513" width="3.140625" customWidth="1"/>
    <col min="514" max="514" width="21.140625" customWidth="1"/>
    <col min="515" max="515" width="7.42578125" customWidth="1"/>
    <col min="516" max="516" width="1.42578125" customWidth="1"/>
    <col min="517" max="517" width="11.85546875" customWidth="1"/>
    <col min="518" max="518" width="2.28515625" customWidth="1"/>
    <col min="519" max="519" width="11.28515625" customWidth="1"/>
    <col min="520" max="520" width="2" customWidth="1"/>
    <col min="521" max="521" width="12.85546875" customWidth="1"/>
    <col min="522" max="522" width="1.42578125" customWidth="1"/>
    <col min="523" max="523" width="11.5703125" customWidth="1"/>
    <col min="524" max="524" width="2.85546875" customWidth="1"/>
    <col min="525" max="525" width="1" customWidth="1"/>
    <col min="526" max="526" width="8" customWidth="1"/>
    <col min="527" max="527" width="2.28515625" customWidth="1"/>
    <col min="528" max="528" width="2.140625" customWidth="1"/>
    <col min="529" max="529" width="9.28515625" customWidth="1"/>
    <col min="530" max="530" width="4" customWidth="1"/>
    <col min="531" max="531" width="2.85546875" customWidth="1"/>
    <col min="532" max="532" width="12.5703125" customWidth="1"/>
    <col min="533" max="533" width="1" customWidth="1"/>
    <col min="534" max="534" width="1.140625" customWidth="1"/>
    <col min="535" max="535" width="2.85546875" customWidth="1"/>
    <col min="536" max="536" width="9.85546875" customWidth="1"/>
    <col min="537" max="768" width="6.85546875" customWidth="1"/>
    <col min="769" max="769" width="3.140625" customWidth="1"/>
    <col min="770" max="770" width="21.140625" customWidth="1"/>
    <col min="771" max="771" width="7.42578125" customWidth="1"/>
    <col min="772" max="772" width="1.42578125" customWidth="1"/>
    <col min="773" max="773" width="11.85546875" customWidth="1"/>
    <col min="774" max="774" width="2.28515625" customWidth="1"/>
    <col min="775" max="775" width="11.28515625" customWidth="1"/>
    <col min="776" max="776" width="2" customWidth="1"/>
    <col min="777" max="777" width="12.85546875" customWidth="1"/>
    <col min="778" max="778" width="1.42578125" customWidth="1"/>
    <col min="779" max="779" width="11.5703125" customWidth="1"/>
    <col min="780" max="780" width="2.85546875" customWidth="1"/>
    <col min="781" max="781" width="1" customWidth="1"/>
    <col min="782" max="782" width="8" customWidth="1"/>
    <col min="783" max="783" width="2.28515625" customWidth="1"/>
    <col min="784" max="784" width="2.140625" customWidth="1"/>
    <col min="785" max="785" width="9.28515625" customWidth="1"/>
    <col min="786" max="786" width="4" customWidth="1"/>
    <col min="787" max="787" width="2.85546875" customWidth="1"/>
    <col min="788" max="788" width="12.5703125" customWidth="1"/>
    <col min="789" max="789" width="1" customWidth="1"/>
    <col min="790" max="790" width="1.140625" customWidth="1"/>
    <col min="791" max="791" width="2.85546875" customWidth="1"/>
    <col min="792" max="792" width="9.85546875" customWidth="1"/>
    <col min="793" max="1024" width="6.85546875" customWidth="1"/>
    <col min="1025" max="1025" width="3.140625" customWidth="1"/>
    <col min="1026" max="1026" width="21.140625" customWidth="1"/>
    <col min="1027" max="1027" width="7.42578125" customWidth="1"/>
    <col min="1028" max="1028" width="1.42578125" customWidth="1"/>
    <col min="1029" max="1029" width="11.85546875" customWidth="1"/>
    <col min="1030" max="1030" width="2.28515625" customWidth="1"/>
    <col min="1031" max="1031" width="11.28515625" customWidth="1"/>
    <col min="1032" max="1032" width="2" customWidth="1"/>
    <col min="1033" max="1033" width="12.85546875" customWidth="1"/>
    <col min="1034" max="1034" width="1.42578125" customWidth="1"/>
    <col min="1035" max="1035" width="11.5703125" customWidth="1"/>
    <col min="1036" max="1036" width="2.85546875" customWidth="1"/>
    <col min="1037" max="1037" width="1" customWidth="1"/>
    <col min="1038" max="1038" width="8" customWidth="1"/>
    <col min="1039" max="1039" width="2.28515625" customWidth="1"/>
    <col min="1040" max="1040" width="2.140625" customWidth="1"/>
    <col min="1041" max="1041" width="9.28515625" customWidth="1"/>
    <col min="1042" max="1042" width="4" customWidth="1"/>
    <col min="1043" max="1043" width="2.85546875" customWidth="1"/>
    <col min="1044" max="1044" width="12.5703125" customWidth="1"/>
    <col min="1045" max="1045" width="1" customWidth="1"/>
    <col min="1046" max="1046" width="1.140625" customWidth="1"/>
    <col min="1047" max="1047" width="2.85546875" customWidth="1"/>
    <col min="1048" max="1048" width="9.85546875" customWidth="1"/>
    <col min="1049" max="1280" width="6.85546875" customWidth="1"/>
    <col min="1281" max="1281" width="3.140625" customWidth="1"/>
    <col min="1282" max="1282" width="21.140625" customWidth="1"/>
    <col min="1283" max="1283" width="7.42578125" customWidth="1"/>
    <col min="1284" max="1284" width="1.42578125" customWidth="1"/>
    <col min="1285" max="1285" width="11.85546875" customWidth="1"/>
    <col min="1286" max="1286" width="2.28515625" customWidth="1"/>
    <col min="1287" max="1287" width="11.28515625" customWidth="1"/>
    <col min="1288" max="1288" width="2" customWidth="1"/>
    <col min="1289" max="1289" width="12.85546875" customWidth="1"/>
    <col min="1290" max="1290" width="1.42578125" customWidth="1"/>
    <col min="1291" max="1291" width="11.5703125" customWidth="1"/>
    <col min="1292" max="1292" width="2.85546875" customWidth="1"/>
    <col min="1293" max="1293" width="1" customWidth="1"/>
    <col min="1294" max="1294" width="8" customWidth="1"/>
    <col min="1295" max="1295" width="2.28515625" customWidth="1"/>
    <col min="1296" max="1296" width="2.140625" customWidth="1"/>
    <col min="1297" max="1297" width="9.28515625" customWidth="1"/>
    <col min="1298" max="1298" width="4" customWidth="1"/>
    <col min="1299" max="1299" width="2.85546875" customWidth="1"/>
    <col min="1300" max="1300" width="12.5703125" customWidth="1"/>
    <col min="1301" max="1301" width="1" customWidth="1"/>
    <col min="1302" max="1302" width="1.140625" customWidth="1"/>
    <col min="1303" max="1303" width="2.85546875" customWidth="1"/>
    <col min="1304" max="1304" width="9.85546875" customWidth="1"/>
    <col min="1305" max="1536" width="6.85546875" customWidth="1"/>
    <col min="1537" max="1537" width="3.140625" customWidth="1"/>
    <col min="1538" max="1538" width="21.140625" customWidth="1"/>
    <col min="1539" max="1539" width="7.42578125" customWidth="1"/>
    <col min="1540" max="1540" width="1.42578125" customWidth="1"/>
    <col min="1541" max="1541" width="11.85546875" customWidth="1"/>
    <col min="1542" max="1542" width="2.28515625" customWidth="1"/>
    <col min="1543" max="1543" width="11.28515625" customWidth="1"/>
    <col min="1544" max="1544" width="2" customWidth="1"/>
    <col min="1545" max="1545" width="12.85546875" customWidth="1"/>
    <col min="1546" max="1546" width="1.42578125" customWidth="1"/>
    <col min="1547" max="1547" width="11.5703125" customWidth="1"/>
    <col min="1548" max="1548" width="2.85546875" customWidth="1"/>
    <col min="1549" max="1549" width="1" customWidth="1"/>
    <col min="1550" max="1550" width="8" customWidth="1"/>
    <col min="1551" max="1551" width="2.28515625" customWidth="1"/>
    <col min="1552" max="1552" width="2.140625" customWidth="1"/>
    <col min="1553" max="1553" width="9.28515625" customWidth="1"/>
    <col min="1554" max="1554" width="4" customWidth="1"/>
    <col min="1555" max="1555" width="2.85546875" customWidth="1"/>
    <col min="1556" max="1556" width="12.5703125" customWidth="1"/>
    <col min="1557" max="1557" width="1" customWidth="1"/>
    <col min="1558" max="1558" width="1.140625" customWidth="1"/>
    <col min="1559" max="1559" width="2.85546875" customWidth="1"/>
    <col min="1560" max="1560" width="9.85546875" customWidth="1"/>
    <col min="1561" max="1792" width="6.85546875" customWidth="1"/>
    <col min="1793" max="1793" width="3.140625" customWidth="1"/>
    <col min="1794" max="1794" width="21.140625" customWidth="1"/>
    <col min="1795" max="1795" width="7.42578125" customWidth="1"/>
    <col min="1796" max="1796" width="1.42578125" customWidth="1"/>
    <col min="1797" max="1797" width="11.85546875" customWidth="1"/>
    <col min="1798" max="1798" width="2.28515625" customWidth="1"/>
    <col min="1799" max="1799" width="11.28515625" customWidth="1"/>
    <col min="1800" max="1800" width="2" customWidth="1"/>
    <col min="1801" max="1801" width="12.85546875" customWidth="1"/>
    <col min="1802" max="1802" width="1.42578125" customWidth="1"/>
    <col min="1803" max="1803" width="11.5703125" customWidth="1"/>
    <col min="1804" max="1804" width="2.85546875" customWidth="1"/>
    <col min="1805" max="1805" width="1" customWidth="1"/>
    <col min="1806" max="1806" width="8" customWidth="1"/>
    <col min="1807" max="1807" width="2.28515625" customWidth="1"/>
    <col min="1808" max="1808" width="2.140625" customWidth="1"/>
    <col min="1809" max="1809" width="9.28515625" customWidth="1"/>
    <col min="1810" max="1810" width="4" customWidth="1"/>
    <col min="1811" max="1811" width="2.85546875" customWidth="1"/>
    <col min="1812" max="1812" width="12.5703125" customWidth="1"/>
    <col min="1813" max="1813" width="1" customWidth="1"/>
    <col min="1814" max="1814" width="1.140625" customWidth="1"/>
    <col min="1815" max="1815" width="2.85546875" customWidth="1"/>
    <col min="1816" max="1816" width="9.85546875" customWidth="1"/>
    <col min="1817" max="2048" width="6.85546875" customWidth="1"/>
    <col min="2049" max="2049" width="3.140625" customWidth="1"/>
    <col min="2050" max="2050" width="21.140625" customWidth="1"/>
    <col min="2051" max="2051" width="7.42578125" customWidth="1"/>
    <col min="2052" max="2052" width="1.42578125" customWidth="1"/>
    <col min="2053" max="2053" width="11.85546875" customWidth="1"/>
    <col min="2054" max="2054" width="2.28515625" customWidth="1"/>
    <col min="2055" max="2055" width="11.28515625" customWidth="1"/>
    <col min="2056" max="2056" width="2" customWidth="1"/>
    <col min="2057" max="2057" width="12.85546875" customWidth="1"/>
    <col min="2058" max="2058" width="1.42578125" customWidth="1"/>
    <col min="2059" max="2059" width="11.5703125" customWidth="1"/>
    <col min="2060" max="2060" width="2.85546875" customWidth="1"/>
    <col min="2061" max="2061" width="1" customWidth="1"/>
    <col min="2062" max="2062" width="8" customWidth="1"/>
    <col min="2063" max="2063" width="2.28515625" customWidth="1"/>
    <col min="2064" max="2064" width="2.140625" customWidth="1"/>
    <col min="2065" max="2065" width="9.28515625" customWidth="1"/>
    <col min="2066" max="2066" width="4" customWidth="1"/>
    <col min="2067" max="2067" width="2.85546875" customWidth="1"/>
    <col min="2068" max="2068" width="12.5703125" customWidth="1"/>
    <col min="2069" max="2069" width="1" customWidth="1"/>
    <col min="2070" max="2070" width="1.140625" customWidth="1"/>
    <col min="2071" max="2071" width="2.85546875" customWidth="1"/>
    <col min="2072" max="2072" width="9.85546875" customWidth="1"/>
    <col min="2073" max="2304" width="6.85546875" customWidth="1"/>
    <col min="2305" max="2305" width="3.140625" customWidth="1"/>
    <col min="2306" max="2306" width="21.140625" customWidth="1"/>
    <col min="2307" max="2307" width="7.42578125" customWidth="1"/>
    <col min="2308" max="2308" width="1.42578125" customWidth="1"/>
    <col min="2309" max="2309" width="11.85546875" customWidth="1"/>
    <col min="2310" max="2310" width="2.28515625" customWidth="1"/>
    <col min="2311" max="2311" width="11.28515625" customWidth="1"/>
    <col min="2312" max="2312" width="2" customWidth="1"/>
    <col min="2313" max="2313" width="12.85546875" customWidth="1"/>
    <col min="2314" max="2314" width="1.42578125" customWidth="1"/>
    <col min="2315" max="2315" width="11.5703125" customWidth="1"/>
    <col min="2316" max="2316" width="2.85546875" customWidth="1"/>
    <col min="2317" max="2317" width="1" customWidth="1"/>
    <col min="2318" max="2318" width="8" customWidth="1"/>
    <col min="2319" max="2319" width="2.28515625" customWidth="1"/>
    <col min="2320" max="2320" width="2.140625" customWidth="1"/>
    <col min="2321" max="2321" width="9.28515625" customWidth="1"/>
    <col min="2322" max="2322" width="4" customWidth="1"/>
    <col min="2323" max="2323" width="2.85546875" customWidth="1"/>
    <col min="2324" max="2324" width="12.5703125" customWidth="1"/>
    <col min="2325" max="2325" width="1" customWidth="1"/>
    <col min="2326" max="2326" width="1.140625" customWidth="1"/>
    <col min="2327" max="2327" width="2.85546875" customWidth="1"/>
    <col min="2328" max="2328" width="9.85546875" customWidth="1"/>
    <col min="2329" max="2560" width="6.85546875" customWidth="1"/>
    <col min="2561" max="2561" width="3.140625" customWidth="1"/>
    <col min="2562" max="2562" width="21.140625" customWidth="1"/>
    <col min="2563" max="2563" width="7.42578125" customWidth="1"/>
    <col min="2564" max="2564" width="1.42578125" customWidth="1"/>
    <col min="2565" max="2565" width="11.85546875" customWidth="1"/>
    <col min="2566" max="2566" width="2.28515625" customWidth="1"/>
    <col min="2567" max="2567" width="11.28515625" customWidth="1"/>
    <col min="2568" max="2568" width="2" customWidth="1"/>
    <col min="2569" max="2569" width="12.85546875" customWidth="1"/>
    <col min="2570" max="2570" width="1.42578125" customWidth="1"/>
    <col min="2571" max="2571" width="11.5703125" customWidth="1"/>
    <col min="2572" max="2572" width="2.85546875" customWidth="1"/>
    <col min="2573" max="2573" width="1" customWidth="1"/>
    <col min="2574" max="2574" width="8" customWidth="1"/>
    <col min="2575" max="2575" width="2.28515625" customWidth="1"/>
    <col min="2576" max="2576" width="2.140625" customWidth="1"/>
    <col min="2577" max="2577" width="9.28515625" customWidth="1"/>
    <col min="2578" max="2578" width="4" customWidth="1"/>
    <col min="2579" max="2579" width="2.85546875" customWidth="1"/>
    <col min="2580" max="2580" width="12.5703125" customWidth="1"/>
    <col min="2581" max="2581" width="1" customWidth="1"/>
    <col min="2582" max="2582" width="1.140625" customWidth="1"/>
    <col min="2583" max="2583" width="2.85546875" customWidth="1"/>
    <col min="2584" max="2584" width="9.85546875" customWidth="1"/>
    <col min="2585" max="2816" width="6.85546875" customWidth="1"/>
    <col min="2817" max="2817" width="3.140625" customWidth="1"/>
    <col min="2818" max="2818" width="21.140625" customWidth="1"/>
    <col min="2819" max="2819" width="7.42578125" customWidth="1"/>
    <col min="2820" max="2820" width="1.42578125" customWidth="1"/>
    <col min="2821" max="2821" width="11.85546875" customWidth="1"/>
    <col min="2822" max="2822" width="2.28515625" customWidth="1"/>
    <col min="2823" max="2823" width="11.28515625" customWidth="1"/>
    <col min="2824" max="2824" width="2" customWidth="1"/>
    <col min="2825" max="2825" width="12.85546875" customWidth="1"/>
    <col min="2826" max="2826" width="1.42578125" customWidth="1"/>
    <col min="2827" max="2827" width="11.5703125" customWidth="1"/>
    <col min="2828" max="2828" width="2.85546875" customWidth="1"/>
    <col min="2829" max="2829" width="1" customWidth="1"/>
    <col min="2830" max="2830" width="8" customWidth="1"/>
    <col min="2831" max="2831" width="2.28515625" customWidth="1"/>
    <col min="2832" max="2832" width="2.140625" customWidth="1"/>
    <col min="2833" max="2833" width="9.28515625" customWidth="1"/>
    <col min="2834" max="2834" width="4" customWidth="1"/>
    <col min="2835" max="2835" width="2.85546875" customWidth="1"/>
    <col min="2836" max="2836" width="12.5703125" customWidth="1"/>
    <col min="2837" max="2837" width="1" customWidth="1"/>
    <col min="2838" max="2838" width="1.140625" customWidth="1"/>
    <col min="2839" max="2839" width="2.85546875" customWidth="1"/>
    <col min="2840" max="2840" width="9.85546875" customWidth="1"/>
    <col min="2841" max="3072" width="6.85546875" customWidth="1"/>
    <col min="3073" max="3073" width="3.140625" customWidth="1"/>
    <col min="3074" max="3074" width="21.140625" customWidth="1"/>
    <col min="3075" max="3075" width="7.42578125" customWidth="1"/>
    <col min="3076" max="3076" width="1.42578125" customWidth="1"/>
    <col min="3077" max="3077" width="11.85546875" customWidth="1"/>
    <col min="3078" max="3078" width="2.28515625" customWidth="1"/>
    <col min="3079" max="3079" width="11.28515625" customWidth="1"/>
    <col min="3080" max="3080" width="2" customWidth="1"/>
    <col min="3081" max="3081" width="12.85546875" customWidth="1"/>
    <col min="3082" max="3082" width="1.42578125" customWidth="1"/>
    <col min="3083" max="3083" width="11.5703125" customWidth="1"/>
    <col min="3084" max="3084" width="2.85546875" customWidth="1"/>
    <col min="3085" max="3085" width="1" customWidth="1"/>
    <col min="3086" max="3086" width="8" customWidth="1"/>
    <col min="3087" max="3087" width="2.28515625" customWidth="1"/>
    <col min="3088" max="3088" width="2.140625" customWidth="1"/>
    <col min="3089" max="3089" width="9.28515625" customWidth="1"/>
    <col min="3090" max="3090" width="4" customWidth="1"/>
    <col min="3091" max="3091" width="2.85546875" customWidth="1"/>
    <col min="3092" max="3092" width="12.5703125" customWidth="1"/>
    <col min="3093" max="3093" width="1" customWidth="1"/>
    <col min="3094" max="3094" width="1.140625" customWidth="1"/>
    <col min="3095" max="3095" width="2.85546875" customWidth="1"/>
    <col min="3096" max="3096" width="9.85546875" customWidth="1"/>
    <col min="3097" max="3328" width="6.85546875" customWidth="1"/>
    <col min="3329" max="3329" width="3.140625" customWidth="1"/>
    <col min="3330" max="3330" width="21.140625" customWidth="1"/>
    <col min="3331" max="3331" width="7.42578125" customWidth="1"/>
    <col min="3332" max="3332" width="1.42578125" customWidth="1"/>
    <col min="3333" max="3333" width="11.85546875" customWidth="1"/>
    <col min="3334" max="3334" width="2.28515625" customWidth="1"/>
    <col min="3335" max="3335" width="11.28515625" customWidth="1"/>
    <col min="3336" max="3336" width="2" customWidth="1"/>
    <col min="3337" max="3337" width="12.85546875" customWidth="1"/>
    <col min="3338" max="3338" width="1.42578125" customWidth="1"/>
    <col min="3339" max="3339" width="11.5703125" customWidth="1"/>
    <col min="3340" max="3340" width="2.85546875" customWidth="1"/>
    <col min="3341" max="3341" width="1" customWidth="1"/>
    <col min="3342" max="3342" width="8" customWidth="1"/>
    <col min="3343" max="3343" width="2.28515625" customWidth="1"/>
    <col min="3344" max="3344" width="2.140625" customWidth="1"/>
    <col min="3345" max="3345" width="9.28515625" customWidth="1"/>
    <col min="3346" max="3346" width="4" customWidth="1"/>
    <col min="3347" max="3347" width="2.85546875" customWidth="1"/>
    <col min="3348" max="3348" width="12.5703125" customWidth="1"/>
    <col min="3349" max="3349" width="1" customWidth="1"/>
    <col min="3350" max="3350" width="1.140625" customWidth="1"/>
    <col min="3351" max="3351" width="2.85546875" customWidth="1"/>
    <col min="3352" max="3352" width="9.85546875" customWidth="1"/>
    <col min="3353" max="3584" width="6.85546875" customWidth="1"/>
    <col min="3585" max="3585" width="3.140625" customWidth="1"/>
    <col min="3586" max="3586" width="21.140625" customWidth="1"/>
    <col min="3587" max="3587" width="7.42578125" customWidth="1"/>
    <col min="3588" max="3588" width="1.42578125" customWidth="1"/>
    <col min="3589" max="3589" width="11.85546875" customWidth="1"/>
    <col min="3590" max="3590" width="2.28515625" customWidth="1"/>
    <col min="3591" max="3591" width="11.28515625" customWidth="1"/>
    <col min="3592" max="3592" width="2" customWidth="1"/>
    <col min="3593" max="3593" width="12.85546875" customWidth="1"/>
    <col min="3594" max="3594" width="1.42578125" customWidth="1"/>
    <col min="3595" max="3595" width="11.5703125" customWidth="1"/>
    <col min="3596" max="3596" width="2.85546875" customWidth="1"/>
    <col min="3597" max="3597" width="1" customWidth="1"/>
    <col min="3598" max="3598" width="8" customWidth="1"/>
    <col min="3599" max="3599" width="2.28515625" customWidth="1"/>
    <col min="3600" max="3600" width="2.140625" customWidth="1"/>
    <col min="3601" max="3601" width="9.28515625" customWidth="1"/>
    <col min="3602" max="3602" width="4" customWidth="1"/>
    <col min="3603" max="3603" width="2.85546875" customWidth="1"/>
    <col min="3604" max="3604" width="12.5703125" customWidth="1"/>
    <col min="3605" max="3605" width="1" customWidth="1"/>
    <col min="3606" max="3606" width="1.140625" customWidth="1"/>
    <col min="3607" max="3607" width="2.85546875" customWidth="1"/>
    <col min="3608" max="3608" width="9.85546875" customWidth="1"/>
    <col min="3609" max="3840" width="6.85546875" customWidth="1"/>
    <col min="3841" max="3841" width="3.140625" customWidth="1"/>
    <col min="3842" max="3842" width="21.140625" customWidth="1"/>
    <col min="3843" max="3843" width="7.42578125" customWidth="1"/>
    <col min="3844" max="3844" width="1.42578125" customWidth="1"/>
    <col min="3845" max="3845" width="11.85546875" customWidth="1"/>
    <col min="3846" max="3846" width="2.28515625" customWidth="1"/>
    <col min="3847" max="3847" width="11.28515625" customWidth="1"/>
    <col min="3848" max="3848" width="2" customWidth="1"/>
    <col min="3849" max="3849" width="12.85546875" customWidth="1"/>
    <col min="3850" max="3850" width="1.42578125" customWidth="1"/>
    <col min="3851" max="3851" width="11.5703125" customWidth="1"/>
    <col min="3852" max="3852" width="2.85546875" customWidth="1"/>
    <col min="3853" max="3853" width="1" customWidth="1"/>
    <col min="3854" max="3854" width="8" customWidth="1"/>
    <col min="3855" max="3855" width="2.28515625" customWidth="1"/>
    <col min="3856" max="3856" width="2.140625" customWidth="1"/>
    <col min="3857" max="3857" width="9.28515625" customWidth="1"/>
    <col min="3858" max="3858" width="4" customWidth="1"/>
    <col min="3859" max="3859" width="2.85546875" customWidth="1"/>
    <col min="3860" max="3860" width="12.5703125" customWidth="1"/>
    <col min="3861" max="3861" width="1" customWidth="1"/>
    <col min="3862" max="3862" width="1.140625" customWidth="1"/>
    <col min="3863" max="3863" width="2.85546875" customWidth="1"/>
    <col min="3864" max="3864" width="9.85546875" customWidth="1"/>
    <col min="3865" max="4096" width="6.85546875" customWidth="1"/>
    <col min="4097" max="4097" width="3.140625" customWidth="1"/>
    <col min="4098" max="4098" width="21.140625" customWidth="1"/>
    <col min="4099" max="4099" width="7.42578125" customWidth="1"/>
    <col min="4100" max="4100" width="1.42578125" customWidth="1"/>
    <col min="4101" max="4101" width="11.85546875" customWidth="1"/>
    <col min="4102" max="4102" width="2.28515625" customWidth="1"/>
    <col min="4103" max="4103" width="11.28515625" customWidth="1"/>
    <col min="4104" max="4104" width="2" customWidth="1"/>
    <col min="4105" max="4105" width="12.85546875" customWidth="1"/>
    <col min="4106" max="4106" width="1.42578125" customWidth="1"/>
    <col min="4107" max="4107" width="11.5703125" customWidth="1"/>
    <col min="4108" max="4108" width="2.85546875" customWidth="1"/>
    <col min="4109" max="4109" width="1" customWidth="1"/>
    <col min="4110" max="4110" width="8" customWidth="1"/>
    <col min="4111" max="4111" width="2.28515625" customWidth="1"/>
    <col min="4112" max="4112" width="2.140625" customWidth="1"/>
    <col min="4113" max="4113" width="9.28515625" customWidth="1"/>
    <col min="4114" max="4114" width="4" customWidth="1"/>
    <col min="4115" max="4115" width="2.85546875" customWidth="1"/>
    <col min="4116" max="4116" width="12.5703125" customWidth="1"/>
    <col min="4117" max="4117" width="1" customWidth="1"/>
    <col min="4118" max="4118" width="1.140625" customWidth="1"/>
    <col min="4119" max="4119" width="2.85546875" customWidth="1"/>
    <col min="4120" max="4120" width="9.85546875" customWidth="1"/>
    <col min="4121" max="4352" width="6.85546875" customWidth="1"/>
    <col min="4353" max="4353" width="3.140625" customWidth="1"/>
    <col min="4354" max="4354" width="21.140625" customWidth="1"/>
    <col min="4355" max="4355" width="7.42578125" customWidth="1"/>
    <col min="4356" max="4356" width="1.42578125" customWidth="1"/>
    <col min="4357" max="4357" width="11.85546875" customWidth="1"/>
    <col min="4358" max="4358" width="2.28515625" customWidth="1"/>
    <col min="4359" max="4359" width="11.28515625" customWidth="1"/>
    <col min="4360" max="4360" width="2" customWidth="1"/>
    <col min="4361" max="4361" width="12.85546875" customWidth="1"/>
    <col min="4362" max="4362" width="1.42578125" customWidth="1"/>
    <col min="4363" max="4363" width="11.5703125" customWidth="1"/>
    <col min="4364" max="4364" width="2.85546875" customWidth="1"/>
    <col min="4365" max="4365" width="1" customWidth="1"/>
    <col min="4366" max="4366" width="8" customWidth="1"/>
    <col min="4367" max="4367" width="2.28515625" customWidth="1"/>
    <col min="4368" max="4368" width="2.140625" customWidth="1"/>
    <col min="4369" max="4369" width="9.28515625" customWidth="1"/>
    <col min="4370" max="4370" width="4" customWidth="1"/>
    <col min="4371" max="4371" width="2.85546875" customWidth="1"/>
    <col min="4372" max="4372" width="12.5703125" customWidth="1"/>
    <col min="4373" max="4373" width="1" customWidth="1"/>
    <col min="4374" max="4374" width="1.140625" customWidth="1"/>
    <col min="4375" max="4375" width="2.85546875" customWidth="1"/>
    <col min="4376" max="4376" width="9.85546875" customWidth="1"/>
    <col min="4377" max="4608" width="6.85546875" customWidth="1"/>
    <col min="4609" max="4609" width="3.140625" customWidth="1"/>
    <col min="4610" max="4610" width="21.140625" customWidth="1"/>
    <col min="4611" max="4611" width="7.42578125" customWidth="1"/>
    <col min="4612" max="4612" width="1.42578125" customWidth="1"/>
    <col min="4613" max="4613" width="11.85546875" customWidth="1"/>
    <col min="4614" max="4614" width="2.28515625" customWidth="1"/>
    <col min="4615" max="4615" width="11.28515625" customWidth="1"/>
    <col min="4616" max="4616" width="2" customWidth="1"/>
    <col min="4617" max="4617" width="12.85546875" customWidth="1"/>
    <col min="4618" max="4618" width="1.42578125" customWidth="1"/>
    <col min="4619" max="4619" width="11.5703125" customWidth="1"/>
    <col min="4620" max="4620" width="2.85546875" customWidth="1"/>
    <col min="4621" max="4621" width="1" customWidth="1"/>
    <col min="4622" max="4622" width="8" customWidth="1"/>
    <col min="4623" max="4623" width="2.28515625" customWidth="1"/>
    <col min="4624" max="4624" width="2.140625" customWidth="1"/>
    <col min="4625" max="4625" width="9.28515625" customWidth="1"/>
    <col min="4626" max="4626" width="4" customWidth="1"/>
    <col min="4627" max="4627" width="2.85546875" customWidth="1"/>
    <col min="4628" max="4628" width="12.5703125" customWidth="1"/>
    <col min="4629" max="4629" width="1" customWidth="1"/>
    <col min="4630" max="4630" width="1.140625" customWidth="1"/>
    <col min="4631" max="4631" width="2.85546875" customWidth="1"/>
    <col min="4632" max="4632" width="9.85546875" customWidth="1"/>
    <col min="4633" max="4864" width="6.85546875" customWidth="1"/>
    <col min="4865" max="4865" width="3.140625" customWidth="1"/>
    <col min="4866" max="4866" width="21.140625" customWidth="1"/>
    <col min="4867" max="4867" width="7.42578125" customWidth="1"/>
    <col min="4868" max="4868" width="1.42578125" customWidth="1"/>
    <col min="4869" max="4869" width="11.85546875" customWidth="1"/>
    <col min="4870" max="4870" width="2.28515625" customWidth="1"/>
    <col min="4871" max="4871" width="11.28515625" customWidth="1"/>
    <col min="4872" max="4872" width="2" customWidth="1"/>
    <col min="4873" max="4873" width="12.85546875" customWidth="1"/>
    <col min="4874" max="4874" width="1.42578125" customWidth="1"/>
    <col min="4875" max="4875" width="11.5703125" customWidth="1"/>
    <col min="4876" max="4876" width="2.85546875" customWidth="1"/>
    <col min="4877" max="4877" width="1" customWidth="1"/>
    <col min="4878" max="4878" width="8" customWidth="1"/>
    <col min="4879" max="4879" width="2.28515625" customWidth="1"/>
    <col min="4880" max="4880" width="2.140625" customWidth="1"/>
    <col min="4881" max="4881" width="9.28515625" customWidth="1"/>
    <col min="4882" max="4882" width="4" customWidth="1"/>
    <col min="4883" max="4883" width="2.85546875" customWidth="1"/>
    <col min="4884" max="4884" width="12.5703125" customWidth="1"/>
    <col min="4885" max="4885" width="1" customWidth="1"/>
    <col min="4886" max="4886" width="1.140625" customWidth="1"/>
    <col min="4887" max="4887" width="2.85546875" customWidth="1"/>
    <col min="4888" max="4888" width="9.85546875" customWidth="1"/>
    <col min="4889" max="5120" width="6.85546875" customWidth="1"/>
    <col min="5121" max="5121" width="3.140625" customWidth="1"/>
    <col min="5122" max="5122" width="21.140625" customWidth="1"/>
    <col min="5123" max="5123" width="7.42578125" customWidth="1"/>
    <col min="5124" max="5124" width="1.42578125" customWidth="1"/>
    <col min="5125" max="5125" width="11.85546875" customWidth="1"/>
    <col min="5126" max="5126" width="2.28515625" customWidth="1"/>
    <col min="5127" max="5127" width="11.28515625" customWidth="1"/>
    <col min="5128" max="5128" width="2" customWidth="1"/>
    <col min="5129" max="5129" width="12.85546875" customWidth="1"/>
    <col min="5130" max="5130" width="1.42578125" customWidth="1"/>
    <col min="5131" max="5131" width="11.5703125" customWidth="1"/>
    <col min="5132" max="5132" width="2.85546875" customWidth="1"/>
    <col min="5133" max="5133" width="1" customWidth="1"/>
    <col min="5134" max="5134" width="8" customWidth="1"/>
    <col min="5135" max="5135" width="2.28515625" customWidth="1"/>
    <col min="5136" max="5136" width="2.140625" customWidth="1"/>
    <col min="5137" max="5137" width="9.28515625" customWidth="1"/>
    <col min="5138" max="5138" width="4" customWidth="1"/>
    <col min="5139" max="5139" width="2.85546875" customWidth="1"/>
    <col min="5140" max="5140" width="12.5703125" customWidth="1"/>
    <col min="5141" max="5141" width="1" customWidth="1"/>
    <col min="5142" max="5142" width="1.140625" customWidth="1"/>
    <col min="5143" max="5143" width="2.85546875" customWidth="1"/>
    <col min="5144" max="5144" width="9.85546875" customWidth="1"/>
    <col min="5145" max="5376" width="6.85546875" customWidth="1"/>
    <col min="5377" max="5377" width="3.140625" customWidth="1"/>
    <col min="5378" max="5378" width="21.140625" customWidth="1"/>
    <col min="5379" max="5379" width="7.42578125" customWidth="1"/>
    <col min="5380" max="5380" width="1.42578125" customWidth="1"/>
    <col min="5381" max="5381" width="11.85546875" customWidth="1"/>
    <col min="5382" max="5382" width="2.28515625" customWidth="1"/>
    <col min="5383" max="5383" width="11.28515625" customWidth="1"/>
    <col min="5384" max="5384" width="2" customWidth="1"/>
    <col min="5385" max="5385" width="12.85546875" customWidth="1"/>
    <col min="5386" max="5386" width="1.42578125" customWidth="1"/>
    <col min="5387" max="5387" width="11.5703125" customWidth="1"/>
    <col min="5388" max="5388" width="2.85546875" customWidth="1"/>
    <col min="5389" max="5389" width="1" customWidth="1"/>
    <col min="5390" max="5390" width="8" customWidth="1"/>
    <col min="5391" max="5391" width="2.28515625" customWidth="1"/>
    <col min="5392" max="5392" width="2.140625" customWidth="1"/>
    <col min="5393" max="5393" width="9.28515625" customWidth="1"/>
    <col min="5394" max="5394" width="4" customWidth="1"/>
    <col min="5395" max="5395" width="2.85546875" customWidth="1"/>
    <col min="5396" max="5396" width="12.5703125" customWidth="1"/>
    <col min="5397" max="5397" width="1" customWidth="1"/>
    <col min="5398" max="5398" width="1.140625" customWidth="1"/>
    <col min="5399" max="5399" width="2.85546875" customWidth="1"/>
    <col min="5400" max="5400" width="9.85546875" customWidth="1"/>
    <col min="5401" max="5632" width="6.85546875" customWidth="1"/>
    <col min="5633" max="5633" width="3.140625" customWidth="1"/>
    <col min="5634" max="5634" width="21.140625" customWidth="1"/>
    <col min="5635" max="5635" width="7.42578125" customWidth="1"/>
    <col min="5636" max="5636" width="1.42578125" customWidth="1"/>
    <col min="5637" max="5637" width="11.85546875" customWidth="1"/>
    <col min="5638" max="5638" width="2.28515625" customWidth="1"/>
    <col min="5639" max="5639" width="11.28515625" customWidth="1"/>
    <col min="5640" max="5640" width="2" customWidth="1"/>
    <col min="5641" max="5641" width="12.85546875" customWidth="1"/>
    <col min="5642" max="5642" width="1.42578125" customWidth="1"/>
    <col min="5643" max="5643" width="11.5703125" customWidth="1"/>
    <col min="5644" max="5644" width="2.85546875" customWidth="1"/>
    <col min="5645" max="5645" width="1" customWidth="1"/>
    <col min="5646" max="5646" width="8" customWidth="1"/>
    <col min="5647" max="5647" width="2.28515625" customWidth="1"/>
    <col min="5648" max="5648" width="2.140625" customWidth="1"/>
    <col min="5649" max="5649" width="9.28515625" customWidth="1"/>
    <col min="5650" max="5650" width="4" customWidth="1"/>
    <col min="5651" max="5651" width="2.85546875" customWidth="1"/>
    <col min="5652" max="5652" width="12.5703125" customWidth="1"/>
    <col min="5653" max="5653" width="1" customWidth="1"/>
    <col min="5654" max="5654" width="1.140625" customWidth="1"/>
    <col min="5655" max="5655" width="2.85546875" customWidth="1"/>
    <col min="5656" max="5656" width="9.85546875" customWidth="1"/>
    <col min="5657" max="5888" width="6.85546875" customWidth="1"/>
    <col min="5889" max="5889" width="3.140625" customWidth="1"/>
    <col min="5890" max="5890" width="21.140625" customWidth="1"/>
    <col min="5891" max="5891" width="7.42578125" customWidth="1"/>
    <col min="5892" max="5892" width="1.42578125" customWidth="1"/>
    <col min="5893" max="5893" width="11.85546875" customWidth="1"/>
    <col min="5894" max="5894" width="2.28515625" customWidth="1"/>
    <col min="5895" max="5895" width="11.28515625" customWidth="1"/>
    <col min="5896" max="5896" width="2" customWidth="1"/>
    <col min="5897" max="5897" width="12.85546875" customWidth="1"/>
    <col min="5898" max="5898" width="1.42578125" customWidth="1"/>
    <col min="5899" max="5899" width="11.5703125" customWidth="1"/>
    <col min="5900" max="5900" width="2.85546875" customWidth="1"/>
    <col min="5901" max="5901" width="1" customWidth="1"/>
    <col min="5902" max="5902" width="8" customWidth="1"/>
    <col min="5903" max="5903" width="2.28515625" customWidth="1"/>
    <col min="5904" max="5904" width="2.140625" customWidth="1"/>
    <col min="5905" max="5905" width="9.28515625" customWidth="1"/>
    <col min="5906" max="5906" width="4" customWidth="1"/>
    <col min="5907" max="5907" width="2.85546875" customWidth="1"/>
    <col min="5908" max="5908" width="12.5703125" customWidth="1"/>
    <col min="5909" max="5909" width="1" customWidth="1"/>
    <col min="5910" max="5910" width="1.140625" customWidth="1"/>
    <col min="5911" max="5911" width="2.85546875" customWidth="1"/>
    <col min="5912" max="5912" width="9.85546875" customWidth="1"/>
    <col min="5913" max="6144" width="6.85546875" customWidth="1"/>
    <col min="6145" max="6145" width="3.140625" customWidth="1"/>
    <col min="6146" max="6146" width="21.140625" customWidth="1"/>
    <col min="6147" max="6147" width="7.42578125" customWidth="1"/>
    <col min="6148" max="6148" width="1.42578125" customWidth="1"/>
    <col min="6149" max="6149" width="11.85546875" customWidth="1"/>
    <col min="6150" max="6150" width="2.28515625" customWidth="1"/>
    <col min="6151" max="6151" width="11.28515625" customWidth="1"/>
    <col min="6152" max="6152" width="2" customWidth="1"/>
    <col min="6153" max="6153" width="12.85546875" customWidth="1"/>
    <col min="6154" max="6154" width="1.42578125" customWidth="1"/>
    <col min="6155" max="6155" width="11.5703125" customWidth="1"/>
    <col min="6156" max="6156" width="2.85546875" customWidth="1"/>
    <col min="6157" max="6157" width="1" customWidth="1"/>
    <col min="6158" max="6158" width="8" customWidth="1"/>
    <col min="6159" max="6159" width="2.28515625" customWidth="1"/>
    <col min="6160" max="6160" width="2.140625" customWidth="1"/>
    <col min="6161" max="6161" width="9.28515625" customWidth="1"/>
    <col min="6162" max="6162" width="4" customWidth="1"/>
    <col min="6163" max="6163" width="2.85546875" customWidth="1"/>
    <col min="6164" max="6164" width="12.5703125" customWidth="1"/>
    <col min="6165" max="6165" width="1" customWidth="1"/>
    <col min="6166" max="6166" width="1.140625" customWidth="1"/>
    <col min="6167" max="6167" width="2.85546875" customWidth="1"/>
    <col min="6168" max="6168" width="9.85546875" customWidth="1"/>
    <col min="6169" max="6400" width="6.85546875" customWidth="1"/>
    <col min="6401" max="6401" width="3.140625" customWidth="1"/>
    <col min="6402" max="6402" width="21.140625" customWidth="1"/>
    <col min="6403" max="6403" width="7.42578125" customWidth="1"/>
    <col min="6404" max="6404" width="1.42578125" customWidth="1"/>
    <col min="6405" max="6405" width="11.85546875" customWidth="1"/>
    <col min="6406" max="6406" width="2.28515625" customWidth="1"/>
    <col min="6407" max="6407" width="11.28515625" customWidth="1"/>
    <col min="6408" max="6408" width="2" customWidth="1"/>
    <col min="6409" max="6409" width="12.85546875" customWidth="1"/>
    <col min="6410" max="6410" width="1.42578125" customWidth="1"/>
    <col min="6411" max="6411" width="11.5703125" customWidth="1"/>
    <col min="6412" max="6412" width="2.85546875" customWidth="1"/>
    <col min="6413" max="6413" width="1" customWidth="1"/>
    <col min="6414" max="6414" width="8" customWidth="1"/>
    <col min="6415" max="6415" width="2.28515625" customWidth="1"/>
    <col min="6416" max="6416" width="2.140625" customWidth="1"/>
    <col min="6417" max="6417" width="9.28515625" customWidth="1"/>
    <col min="6418" max="6418" width="4" customWidth="1"/>
    <col min="6419" max="6419" width="2.85546875" customWidth="1"/>
    <col min="6420" max="6420" width="12.5703125" customWidth="1"/>
    <col min="6421" max="6421" width="1" customWidth="1"/>
    <col min="6422" max="6422" width="1.140625" customWidth="1"/>
    <col min="6423" max="6423" width="2.85546875" customWidth="1"/>
    <col min="6424" max="6424" width="9.85546875" customWidth="1"/>
    <col min="6425" max="6656" width="6.85546875" customWidth="1"/>
    <col min="6657" max="6657" width="3.140625" customWidth="1"/>
    <col min="6658" max="6658" width="21.140625" customWidth="1"/>
    <col min="6659" max="6659" width="7.42578125" customWidth="1"/>
    <col min="6660" max="6660" width="1.42578125" customWidth="1"/>
    <col min="6661" max="6661" width="11.85546875" customWidth="1"/>
    <col min="6662" max="6662" width="2.28515625" customWidth="1"/>
    <col min="6663" max="6663" width="11.28515625" customWidth="1"/>
    <col min="6664" max="6664" width="2" customWidth="1"/>
    <col min="6665" max="6665" width="12.85546875" customWidth="1"/>
    <col min="6666" max="6666" width="1.42578125" customWidth="1"/>
    <col min="6667" max="6667" width="11.5703125" customWidth="1"/>
    <col min="6668" max="6668" width="2.85546875" customWidth="1"/>
    <col min="6669" max="6669" width="1" customWidth="1"/>
    <col min="6670" max="6670" width="8" customWidth="1"/>
    <col min="6671" max="6671" width="2.28515625" customWidth="1"/>
    <col min="6672" max="6672" width="2.140625" customWidth="1"/>
    <col min="6673" max="6673" width="9.28515625" customWidth="1"/>
    <col min="6674" max="6674" width="4" customWidth="1"/>
    <col min="6675" max="6675" width="2.85546875" customWidth="1"/>
    <col min="6676" max="6676" width="12.5703125" customWidth="1"/>
    <col min="6677" max="6677" width="1" customWidth="1"/>
    <col min="6678" max="6678" width="1.140625" customWidth="1"/>
    <col min="6679" max="6679" width="2.85546875" customWidth="1"/>
    <col min="6680" max="6680" width="9.85546875" customWidth="1"/>
    <col min="6681" max="6912" width="6.85546875" customWidth="1"/>
    <col min="6913" max="6913" width="3.140625" customWidth="1"/>
    <col min="6914" max="6914" width="21.140625" customWidth="1"/>
    <col min="6915" max="6915" width="7.42578125" customWidth="1"/>
    <col min="6916" max="6916" width="1.42578125" customWidth="1"/>
    <col min="6917" max="6917" width="11.85546875" customWidth="1"/>
    <col min="6918" max="6918" width="2.28515625" customWidth="1"/>
    <col min="6919" max="6919" width="11.28515625" customWidth="1"/>
    <col min="6920" max="6920" width="2" customWidth="1"/>
    <col min="6921" max="6921" width="12.85546875" customWidth="1"/>
    <col min="6922" max="6922" width="1.42578125" customWidth="1"/>
    <col min="6923" max="6923" width="11.5703125" customWidth="1"/>
    <col min="6924" max="6924" width="2.85546875" customWidth="1"/>
    <col min="6925" max="6925" width="1" customWidth="1"/>
    <col min="6926" max="6926" width="8" customWidth="1"/>
    <col min="6927" max="6927" width="2.28515625" customWidth="1"/>
    <col min="6928" max="6928" width="2.140625" customWidth="1"/>
    <col min="6929" max="6929" width="9.28515625" customWidth="1"/>
    <col min="6930" max="6930" width="4" customWidth="1"/>
    <col min="6931" max="6931" width="2.85546875" customWidth="1"/>
    <col min="6932" max="6932" width="12.5703125" customWidth="1"/>
    <col min="6933" max="6933" width="1" customWidth="1"/>
    <col min="6934" max="6934" width="1.140625" customWidth="1"/>
    <col min="6935" max="6935" width="2.85546875" customWidth="1"/>
    <col min="6936" max="6936" width="9.85546875" customWidth="1"/>
    <col min="6937" max="7168" width="6.85546875" customWidth="1"/>
    <col min="7169" max="7169" width="3.140625" customWidth="1"/>
    <col min="7170" max="7170" width="21.140625" customWidth="1"/>
    <col min="7171" max="7171" width="7.42578125" customWidth="1"/>
    <col min="7172" max="7172" width="1.42578125" customWidth="1"/>
    <col min="7173" max="7173" width="11.85546875" customWidth="1"/>
    <col min="7174" max="7174" width="2.28515625" customWidth="1"/>
    <col min="7175" max="7175" width="11.28515625" customWidth="1"/>
    <col min="7176" max="7176" width="2" customWidth="1"/>
    <col min="7177" max="7177" width="12.85546875" customWidth="1"/>
    <col min="7178" max="7178" width="1.42578125" customWidth="1"/>
    <col min="7179" max="7179" width="11.5703125" customWidth="1"/>
    <col min="7180" max="7180" width="2.85546875" customWidth="1"/>
    <col min="7181" max="7181" width="1" customWidth="1"/>
    <col min="7182" max="7182" width="8" customWidth="1"/>
    <col min="7183" max="7183" width="2.28515625" customWidth="1"/>
    <col min="7184" max="7184" width="2.140625" customWidth="1"/>
    <col min="7185" max="7185" width="9.28515625" customWidth="1"/>
    <col min="7186" max="7186" width="4" customWidth="1"/>
    <col min="7187" max="7187" width="2.85546875" customWidth="1"/>
    <col min="7188" max="7188" width="12.5703125" customWidth="1"/>
    <col min="7189" max="7189" width="1" customWidth="1"/>
    <col min="7190" max="7190" width="1.140625" customWidth="1"/>
    <col min="7191" max="7191" width="2.85546875" customWidth="1"/>
    <col min="7192" max="7192" width="9.85546875" customWidth="1"/>
    <col min="7193" max="7424" width="6.85546875" customWidth="1"/>
    <col min="7425" max="7425" width="3.140625" customWidth="1"/>
    <col min="7426" max="7426" width="21.140625" customWidth="1"/>
    <col min="7427" max="7427" width="7.42578125" customWidth="1"/>
    <col min="7428" max="7428" width="1.42578125" customWidth="1"/>
    <col min="7429" max="7429" width="11.85546875" customWidth="1"/>
    <col min="7430" max="7430" width="2.28515625" customWidth="1"/>
    <col min="7431" max="7431" width="11.28515625" customWidth="1"/>
    <col min="7432" max="7432" width="2" customWidth="1"/>
    <col min="7433" max="7433" width="12.85546875" customWidth="1"/>
    <col min="7434" max="7434" width="1.42578125" customWidth="1"/>
    <col min="7435" max="7435" width="11.5703125" customWidth="1"/>
    <col min="7436" max="7436" width="2.85546875" customWidth="1"/>
    <col min="7437" max="7437" width="1" customWidth="1"/>
    <col min="7438" max="7438" width="8" customWidth="1"/>
    <col min="7439" max="7439" width="2.28515625" customWidth="1"/>
    <col min="7440" max="7440" width="2.140625" customWidth="1"/>
    <col min="7441" max="7441" width="9.28515625" customWidth="1"/>
    <col min="7442" max="7442" width="4" customWidth="1"/>
    <col min="7443" max="7443" width="2.85546875" customWidth="1"/>
    <col min="7444" max="7444" width="12.5703125" customWidth="1"/>
    <col min="7445" max="7445" width="1" customWidth="1"/>
    <col min="7446" max="7446" width="1.140625" customWidth="1"/>
    <col min="7447" max="7447" width="2.85546875" customWidth="1"/>
    <col min="7448" max="7448" width="9.85546875" customWidth="1"/>
    <col min="7449" max="7680" width="6.85546875" customWidth="1"/>
    <col min="7681" max="7681" width="3.140625" customWidth="1"/>
    <col min="7682" max="7682" width="21.140625" customWidth="1"/>
    <col min="7683" max="7683" width="7.42578125" customWidth="1"/>
    <col min="7684" max="7684" width="1.42578125" customWidth="1"/>
    <col min="7685" max="7685" width="11.85546875" customWidth="1"/>
    <col min="7686" max="7686" width="2.28515625" customWidth="1"/>
    <col min="7687" max="7687" width="11.28515625" customWidth="1"/>
    <col min="7688" max="7688" width="2" customWidth="1"/>
    <col min="7689" max="7689" width="12.85546875" customWidth="1"/>
    <col min="7690" max="7690" width="1.42578125" customWidth="1"/>
    <col min="7691" max="7691" width="11.5703125" customWidth="1"/>
    <col min="7692" max="7692" width="2.85546875" customWidth="1"/>
    <col min="7693" max="7693" width="1" customWidth="1"/>
    <col min="7694" max="7694" width="8" customWidth="1"/>
    <col min="7695" max="7695" width="2.28515625" customWidth="1"/>
    <col min="7696" max="7696" width="2.140625" customWidth="1"/>
    <col min="7697" max="7697" width="9.28515625" customWidth="1"/>
    <col min="7698" max="7698" width="4" customWidth="1"/>
    <col min="7699" max="7699" width="2.85546875" customWidth="1"/>
    <col min="7700" max="7700" width="12.5703125" customWidth="1"/>
    <col min="7701" max="7701" width="1" customWidth="1"/>
    <col min="7702" max="7702" width="1.140625" customWidth="1"/>
    <col min="7703" max="7703" width="2.85546875" customWidth="1"/>
    <col min="7704" max="7704" width="9.85546875" customWidth="1"/>
    <col min="7705" max="7936" width="6.85546875" customWidth="1"/>
    <col min="7937" max="7937" width="3.140625" customWidth="1"/>
    <col min="7938" max="7938" width="21.140625" customWidth="1"/>
    <col min="7939" max="7939" width="7.42578125" customWidth="1"/>
    <col min="7940" max="7940" width="1.42578125" customWidth="1"/>
    <col min="7941" max="7941" width="11.85546875" customWidth="1"/>
    <col min="7942" max="7942" width="2.28515625" customWidth="1"/>
    <col min="7943" max="7943" width="11.28515625" customWidth="1"/>
    <col min="7944" max="7944" width="2" customWidth="1"/>
    <col min="7945" max="7945" width="12.85546875" customWidth="1"/>
    <col min="7946" max="7946" width="1.42578125" customWidth="1"/>
    <col min="7947" max="7947" width="11.5703125" customWidth="1"/>
    <col min="7948" max="7948" width="2.85546875" customWidth="1"/>
    <col min="7949" max="7949" width="1" customWidth="1"/>
    <col min="7950" max="7950" width="8" customWidth="1"/>
    <col min="7951" max="7951" width="2.28515625" customWidth="1"/>
    <col min="7952" max="7952" width="2.140625" customWidth="1"/>
    <col min="7953" max="7953" width="9.28515625" customWidth="1"/>
    <col min="7954" max="7954" width="4" customWidth="1"/>
    <col min="7955" max="7955" width="2.85546875" customWidth="1"/>
    <col min="7956" max="7956" width="12.5703125" customWidth="1"/>
    <col min="7957" max="7957" width="1" customWidth="1"/>
    <col min="7958" max="7958" width="1.140625" customWidth="1"/>
    <col min="7959" max="7959" width="2.85546875" customWidth="1"/>
    <col min="7960" max="7960" width="9.85546875" customWidth="1"/>
    <col min="7961" max="8192" width="6.85546875" customWidth="1"/>
    <col min="8193" max="8193" width="3.140625" customWidth="1"/>
    <col min="8194" max="8194" width="21.140625" customWidth="1"/>
    <col min="8195" max="8195" width="7.42578125" customWidth="1"/>
    <col min="8196" max="8196" width="1.42578125" customWidth="1"/>
    <col min="8197" max="8197" width="11.85546875" customWidth="1"/>
    <col min="8198" max="8198" width="2.28515625" customWidth="1"/>
    <col min="8199" max="8199" width="11.28515625" customWidth="1"/>
    <col min="8200" max="8200" width="2" customWidth="1"/>
    <col min="8201" max="8201" width="12.85546875" customWidth="1"/>
    <col min="8202" max="8202" width="1.42578125" customWidth="1"/>
    <col min="8203" max="8203" width="11.5703125" customWidth="1"/>
    <col min="8204" max="8204" width="2.85546875" customWidth="1"/>
    <col min="8205" max="8205" width="1" customWidth="1"/>
    <col min="8206" max="8206" width="8" customWidth="1"/>
    <col min="8207" max="8207" width="2.28515625" customWidth="1"/>
    <col min="8208" max="8208" width="2.140625" customWidth="1"/>
    <col min="8209" max="8209" width="9.28515625" customWidth="1"/>
    <col min="8210" max="8210" width="4" customWidth="1"/>
    <col min="8211" max="8211" width="2.85546875" customWidth="1"/>
    <col min="8212" max="8212" width="12.5703125" customWidth="1"/>
    <col min="8213" max="8213" width="1" customWidth="1"/>
    <col min="8214" max="8214" width="1.140625" customWidth="1"/>
    <col min="8215" max="8215" width="2.85546875" customWidth="1"/>
    <col min="8216" max="8216" width="9.85546875" customWidth="1"/>
    <col min="8217" max="8448" width="6.85546875" customWidth="1"/>
    <col min="8449" max="8449" width="3.140625" customWidth="1"/>
    <col min="8450" max="8450" width="21.140625" customWidth="1"/>
    <col min="8451" max="8451" width="7.42578125" customWidth="1"/>
    <col min="8452" max="8452" width="1.42578125" customWidth="1"/>
    <col min="8453" max="8453" width="11.85546875" customWidth="1"/>
    <col min="8454" max="8454" width="2.28515625" customWidth="1"/>
    <col min="8455" max="8455" width="11.28515625" customWidth="1"/>
    <col min="8456" max="8456" width="2" customWidth="1"/>
    <col min="8457" max="8457" width="12.85546875" customWidth="1"/>
    <col min="8458" max="8458" width="1.42578125" customWidth="1"/>
    <col min="8459" max="8459" width="11.5703125" customWidth="1"/>
    <col min="8460" max="8460" width="2.85546875" customWidth="1"/>
    <col min="8461" max="8461" width="1" customWidth="1"/>
    <col min="8462" max="8462" width="8" customWidth="1"/>
    <col min="8463" max="8463" width="2.28515625" customWidth="1"/>
    <col min="8464" max="8464" width="2.140625" customWidth="1"/>
    <col min="8465" max="8465" width="9.28515625" customWidth="1"/>
    <col min="8466" max="8466" width="4" customWidth="1"/>
    <col min="8467" max="8467" width="2.85546875" customWidth="1"/>
    <col min="8468" max="8468" width="12.5703125" customWidth="1"/>
    <col min="8469" max="8469" width="1" customWidth="1"/>
    <col min="8470" max="8470" width="1.140625" customWidth="1"/>
    <col min="8471" max="8471" width="2.85546875" customWidth="1"/>
    <col min="8472" max="8472" width="9.85546875" customWidth="1"/>
    <col min="8473" max="8704" width="6.85546875" customWidth="1"/>
    <col min="8705" max="8705" width="3.140625" customWidth="1"/>
    <col min="8706" max="8706" width="21.140625" customWidth="1"/>
    <col min="8707" max="8707" width="7.42578125" customWidth="1"/>
    <col min="8708" max="8708" width="1.42578125" customWidth="1"/>
    <col min="8709" max="8709" width="11.85546875" customWidth="1"/>
    <col min="8710" max="8710" width="2.28515625" customWidth="1"/>
    <col min="8711" max="8711" width="11.28515625" customWidth="1"/>
    <col min="8712" max="8712" width="2" customWidth="1"/>
    <col min="8713" max="8713" width="12.85546875" customWidth="1"/>
    <col min="8714" max="8714" width="1.42578125" customWidth="1"/>
    <col min="8715" max="8715" width="11.5703125" customWidth="1"/>
    <col min="8716" max="8716" width="2.85546875" customWidth="1"/>
    <col min="8717" max="8717" width="1" customWidth="1"/>
    <col min="8718" max="8718" width="8" customWidth="1"/>
    <col min="8719" max="8719" width="2.28515625" customWidth="1"/>
    <col min="8720" max="8720" width="2.140625" customWidth="1"/>
    <col min="8721" max="8721" width="9.28515625" customWidth="1"/>
    <col min="8722" max="8722" width="4" customWidth="1"/>
    <col min="8723" max="8723" width="2.85546875" customWidth="1"/>
    <col min="8724" max="8724" width="12.5703125" customWidth="1"/>
    <col min="8725" max="8725" width="1" customWidth="1"/>
    <col min="8726" max="8726" width="1.140625" customWidth="1"/>
    <col min="8727" max="8727" width="2.85546875" customWidth="1"/>
    <col min="8728" max="8728" width="9.85546875" customWidth="1"/>
    <col min="8729" max="8960" width="6.85546875" customWidth="1"/>
    <col min="8961" max="8961" width="3.140625" customWidth="1"/>
    <col min="8962" max="8962" width="21.140625" customWidth="1"/>
    <col min="8963" max="8963" width="7.42578125" customWidth="1"/>
    <col min="8964" max="8964" width="1.42578125" customWidth="1"/>
    <col min="8965" max="8965" width="11.85546875" customWidth="1"/>
    <col min="8966" max="8966" width="2.28515625" customWidth="1"/>
    <col min="8967" max="8967" width="11.28515625" customWidth="1"/>
    <col min="8968" max="8968" width="2" customWidth="1"/>
    <col min="8969" max="8969" width="12.85546875" customWidth="1"/>
    <col min="8970" max="8970" width="1.42578125" customWidth="1"/>
    <col min="8971" max="8971" width="11.5703125" customWidth="1"/>
    <col min="8972" max="8972" width="2.85546875" customWidth="1"/>
    <col min="8973" max="8973" width="1" customWidth="1"/>
    <col min="8974" max="8974" width="8" customWidth="1"/>
    <col min="8975" max="8975" width="2.28515625" customWidth="1"/>
    <col min="8976" max="8976" width="2.140625" customWidth="1"/>
    <col min="8977" max="8977" width="9.28515625" customWidth="1"/>
    <col min="8978" max="8978" width="4" customWidth="1"/>
    <col min="8979" max="8979" width="2.85546875" customWidth="1"/>
    <col min="8980" max="8980" width="12.5703125" customWidth="1"/>
    <col min="8981" max="8981" width="1" customWidth="1"/>
    <col min="8982" max="8982" width="1.140625" customWidth="1"/>
    <col min="8983" max="8983" width="2.85546875" customWidth="1"/>
    <col min="8984" max="8984" width="9.85546875" customWidth="1"/>
    <col min="8985" max="9216" width="6.85546875" customWidth="1"/>
    <col min="9217" max="9217" width="3.140625" customWidth="1"/>
    <col min="9218" max="9218" width="21.140625" customWidth="1"/>
    <col min="9219" max="9219" width="7.42578125" customWidth="1"/>
    <col min="9220" max="9220" width="1.42578125" customWidth="1"/>
    <col min="9221" max="9221" width="11.85546875" customWidth="1"/>
    <col min="9222" max="9222" width="2.28515625" customWidth="1"/>
    <col min="9223" max="9223" width="11.28515625" customWidth="1"/>
    <col min="9224" max="9224" width="2" customWidth="1"/>
    <col min="9225" max="9225" width="12.85546875" customWidth="1"/>
    <col min="9226" max="9226" width="1.42578125" customWidth="1"/>
    <col min="9227" max="9227" width="11.5703125" customWidth="1"/>
    <col min="9228" max="9228" width="2.85546875" customWidth="1"/>
    <col min="9229" max="9229" width="1" customWidth="1"/>
    <col min="9230" max="9230" width="8" customWidth="1"/>
    <col min="9231" max="9231" width="2.28515625" customWidth="1"/>
    <col min="9232" max="9232" width="2.140625" customWidth="1"/>
    <col min="9233" max="9233" width="9.28515625" customWidth="1"/>
    <col min="9234" max="9234" width="4" customWidth="1"/>
    <col min="9235" max="9235" width="2.85546875" customWidth="1"/>
    <col min="9236" max="9236" width="12.5703125" customWidth="1"/>
    <col min="9237" max="9237" width="1" customWidth="1"/>
    <col min="9238" max="9238" width="1.140625" customWidth="1"/>
    <col min="9239" max="9239" width="2.85546875" customWidth="1"/>
    <col min="9240" max="9240" width="9.85546875" customWidth="1"/>
    <col min="9241" max="9472" width="6.85546875" customWidth="1"/>
    <col min="9473" max="9473" width="3.140625" customWidth="1"/>
    <col min="9474" max="9474" width="21.140625" customWidth="1"/>
    <col min="9475" max="9475" width="7.42578125" customWidth="1"/>
    <col min="9476" max="9476" width="1.42578125" customWidth="1"/>
    <col min="9477" max="9477" width="11.85546875" customWidth="1"/>
    <col min="9478" max="9478" width="2.28515625" customWidth="1"/>
    <col min="9479" max="9479" width="11.28515625" customWidth="1"/>
    <col min="9480" max="9480" width="2" customWidth="1"/>
    <col min="9481" max="9481" width="12.85546875" customWidth="1"/>
    <col min="9482" max="9482" width="1.42578125" customWidth="1"/>
    <col min="9483" max="9483" width="11.5703125" customWidth="1"/>
    <col min="9484" max="9484" width="2.85546875" customWidth="1"/>
    <col min="9485" max="9485" width="1" customWidth="1"/>
    <col min="9486" max="9486" width="8" customWidth="1"/>
    <col min="9487" max="9487" width="2.28515625" customWidth="1"/>
    <col min="9488" max="9488" width="2.140625" customWidth="1"/>
    <col min="9489" max="9489" width="9.28515625" customWidth="1"/>
    <col min="9490" max="9490" width="4" customWidth="1"/>
    <col min="9491" max="9491" width="2.85546875" customWidth="1"/>
    <col min="9492" max="9492" width="12.5703125" customWidth="1"/>
    <col min="9493" max="9493" width="1" customWidth="1"/>
    <col min="9494" max="9494" width="1.140625" customWidth="1"/>
    <col min="9495" max="9495" width="2.85546875" customWidth="1"/>
    <col min="9496" max="9496" width="9.85546875" customWidth="1"/>
    <col min="9497" max="9728" width="6.85546875" customWidth="1"/>
    <col min="9729" max="9729" width="3.140625" customWidth="1"/>
    <col min="9730" max="9730" width="21.140625" customWidth="1"/>
    <col min="9731" max="9731" width="7.42578125" customWidth="1"/>
    <col min="9732" max="9732" width="1.42578125" customWidth="1"/>
    <col min="9733" max="9733" width="11.85546875" customWidth="1"/>
    <col min="9734" max="9734" width="2.28515625" customWidth="1"/>
    <col min="9735" max="9735" width="11.28515625" customWidth="1"/>
    <col min="9736" max="9736" width="2" customWidth="1"/>
    <col min="9737" max="9737" width="12.85546875" customWidth="1"/>
    <col min="9738" max="9738" width="1.42578125" customWidth="1"/>
    <col min="9739" max="9739" width="11.5703125" customWidth="1"/>
    <col min="9740" max="9740" width="2.85546875" customWidth="1"/>
    <col min="9741" max="9741" width="1" customWidth="1"/>
    <col min="9742" max="9742" width="8" customWidth="1"/>
    <col min="9743" max="9743" width="2.28515625" customWidth="1"/>
    <col min="9744" max="9744" width="2.140625" customWidth="1"/>
    <col min="9745" max="9745" width="9.28515625" customWidth="1"/>
    <col min="9746" max="9746" width="4" customWidth="1"/>
    <col min="9747" max="9747" width="2.85546875" customWidth="1"/>
    <col min="9748" max="9748" width="12.5703125" customWidth="1"/>
    <col min="9749" max="9749" width="1" customWidth="1"/>
    <col min="9750" max="9750" width="1.140625" customWidth="1"/>
    <col min="9751" max="9751" width="2.85546875" customWidth="1"/>
    <col min="9752" max="9752" width="9.85546875" customWidth="1"/>
    <col min="9753" max="9984" width="6.85546875" customWidth="1"/>
    <col min="9985" max="9985" width="3.140625" customWidth="1"/>
    <col min="9986" max="9986" width="21.140625" customWidth="1"/>
    <col min="9987" max="9987" width="7.42578125" customWidth="1"/>
    <col min="9988" max="9988" width="1.42578125" customWidth="1"/>
    <col min="9989" max="9989" width="11.85546875" customWidth="1"/>
    <col min="9990" max="9990" width="2.28515625" customWidth="1"/>
    <col min="9991" max="9991" width="11.28515625" customWidth="1"/>
    <col min="9992" max="9992" width="2" customWidth="1"/>
    <col min="9993" max="9993" width="12.85546875" customWidth="1"/>
    <col min="9994" max="9994" width="1.42578125" customWidth="1"/>
    <col min="9995" max="9995" width="11.5703125" customWidth="1"/>
    <col min="9996" max="9996" width="2.85546875" customWidth="1"/>
    <col min="9997" max="9997" width="1" customWidth="1"/>
    <col min="9998" max="9998" width="8" customWidth="1"/>
    <col min="9999" max="9999" width="2.28515625" customWidth="1"/>
    <col min="10000" max="10000" width="2.140625" customWidth="1"/>
    <col min="10001" max="10001" width="9.28515625" customWidth="1"/>
    <col min="10002" max="10002" width="4" customWidth="1"/>
    <col min="10003" max="10003" width="2.85546875" customWidth="1"/>
    <col min="10004" max="10004" width="12.5703125" customWidth="1"/>
    <col min="10005" max="10005" width="1" customWidth="1"/>
    <col min="10006" max="10006" width="1.140625" customWidth="1"/>
    <col min="10007" max="10007" width="2.85546875" customWidth="1"/>
    <col min="10008" max="10008" width="9.85546875" customWidth="1"/>
    <col min="10009" max="10240" width="6.85546875" customWidth="1"/>
    <col min="10241" max="10241" width="3.140625" customWidth="1"/>
    <col min="10242" max="10242" width="21.140625" customWidth="1"/>
    <col min="10243" max="10243" width="7.42578125" customWidth="1"/>
    <col min="10244" max="10244" width="1.42578125" customWidth="1"/>
    <col min="10245" max="10245" width="11.85546875" customWidth="1"/>
    <col min="10246" max="10246" width="2.28515625" customWidth="1"/>
    <col min="10247" max="10247" width="11.28515625" customWidth="1"/>
    <col min="10248" max="10248" width="2" customWidth="1"/>
    <col min="10249" max="10249" width="12.85546875" customWidth="1"/>
    <col min="10250" max="10250" width="1.42578125" customWidth="1"/>
    <col min="10251" max="10251" width="11.5703125" customWidth="1"/>
    <col min="10252" max="10252" width="2.85546875" customWidth="1"/>
    <col min="10253" max="10253" width="1" customWidth="1"/>
    <col min="10254" max="10254" width="8" customWidth="1"/>
    <col min="10255" max="10255" width="2.28515625" customWidth="1"/>
    <col min="10256" max="10256" width="2.140625" customWidth="1"/>
    <col min="10257" max="10257" width="9.28515625" customWidth="1"/>
    <col min="10258" max="10258" width="4" customWidth="1"/>
    <col min="10259" max="10259" width="2.85546875" customWidth="1"/>
    <col min="10260" max="10260" width="12.5703125" customWidth="1"/>
    <col min="10261" max="10261" width="1" customWidth="1"/>
    <col min="10262" max="10262" width="1.140625" customWidth="1"/>
    <col min="10263" max="10263" width="2.85546875" customWidth="1"/>
    <col min="10264" max="10264" width="9.85546875" customWidth="1"/>
    <col min="10265" max="10496" width="6.85546875" customWidth="1"/>
    <col min="10497" max="10497" width="3.140625" customWidth="1"/>
    <col min="10498" max="10498" width="21.140625" customWidth="1"/>
    <col min="10499" max="10499" width="7.42578125" customWidth="1"/>
    <col min="10500" max="10500" width="1.42578125" customWidth="1"/>
    <col min="10501" max="10501" width="11.85546875" customWidth="1"/>
    <col min="10502" max="10502" width="2.28515625" customWidth="1"/>
    <col min="10503" max="10503" width="11.28515625" customWidth="1"/>
    <col min="10504" max="10504" width="2" customWidth="1"/>
    <col min="10505" max="10505" width="12.85546875" customWidth="1"/>
    <col min="10506" max="10506" width="1.42578125" customWidth="1"/>
    <col min="10507" max="10507" width="11.5703125" customWidth="1"/>
    <col min="10508" max="10508" width="2.85546875" customWidth="1"/>
    <col min="10509" max="10509" width="1" customWidth="1"/>
    <col min="10510" max="10510" width="8" customWidth="1"/>
    <col min="10511" max="10511" width="2.28515625" customWidth="1"/>
    <col min="10512" max="10512" width="2.140625" customWidth="1"/>
    <col min="10513" max="10513" width="9.28515625" customWidth="1"/>
    <col min="10514" max="10514" width="4" customWidth="1"/>
    <col min="10515" max="10515" width="2.85546875" customWidth="1"/>
    <col min="10516" max="10516" width="12.5703125" customWidth="1"/>
    <col min="10517" max="10517" width="1" customWidth="1"/>
    <col min="10518" max="10518" width="1.140625" customWidth="1"/>
    <col min="10519" max="10519" width="2.85546875" customWidth="1"/>
    <col min="10520" max="10520" width="9.85546875" customWidth="1"/>
    <col min="10521" max="10752" width="6.85546875" customWidth="1"/>
    <col min="10753" max="10753" width="3.140625" customWidth="1"/>
    <col min="10754" max="10754" width="21.140625" customWidth="1"/>
    <col min="10755" max="10755" width="7.42578125" customWidth="1"/>
    <col min="10756" max="10756" width="1.42578125" customWidth="1"/>
    <col min="10757" max="10757" width="11.85546875" customWidth="1"/>
    <col min="10758" max="10758" width="2.28515625" customWidth="1"/>
    <col min="10759" max="10759" width="11.28515625" customWidth="1"/>
    <col min="10760" max="10760" width="2" customWidth="1"/>
    <col min="10761" max="10761" width="12.85546875" customWidth="1"/>
    <col min="10762" max="10762" width="1.42578125" customWidth="1"/>
    <col min="10763" max="10763" width="11.5703125" customWidth="1"/>
    <col min="10764" max="10764" width="2.85546875" customWidth="1"/>
    <col min="10765" max="10765" width="1" customWidth="1"/>
    <col min="10766" max="10766" width="8" customWidth="1"/>
    <col min="10767" max="10767" width="2.28515625" customWidth="1"/>
    <col min="10768" max="10768" width="2.140625" customWidth="1"/>
    <col min="10769" max="10769" width="9.28515625" customWidth="1"/>
    <col min="10770" max="10770" width="4" customWidth="1"/>
    <col min="10771" max="10771" width="2.85546875" customWidth="1"/>
    <col min="10772" max="10772" width="12.5703125" customWidth="1"/>
    <col min="10773" max="10773" width="1" customWidth="1"/>
    <col min="10774" max="10774" width="1.140625" customWidth="1"/>
    <col min="10775" max="10775" width="2.85546875" customWidth="1"/>
    <col min="10776" max="10776" width="9.85546875" customWidth="1"/>
    <col min="10777" max="11008" width="6.85546875" customWidth="1"/>
    <col min="11009" max="11009" width="3.140625" customWidth="1"/>
    <col min="11010" max="11010" width="21.140625" customWidth="1"/>
    <col min="11011" max="11011" width="7.42578125" customWidth="1"/>
    <col min="11012" max="11012" width="1.42578125" customWidth="1"/>
    <col min="11013" max="11013" width="11.85546875" customWidth="1"/>
    <col min="11014" max="11014" width="2.28515625" customWidth="1"/>
    <col min="11015" max="11015" width="11.28515625" customWidth="1"/>
    <col min="11016" max="11016" width="2" customWidth="1"/>
    <col min="11017" max="11017" width="12.85546875" customWidth="1"/>
    <col min="11018" max="11018" width="1.42578125" customWidth="1"/>
    <col min="11019" max="11019" width="11.5703125" customWidth="1"/>
    <col min="11020" max="11020" width="2.85546875" customWidth="1"/>
    <col min="11021" max="11021" width="1" customWidth="1"/>
    <col min="11022" max="11022" width="8" customWidth="1"/>
    <col min="11023" max="11023" width="2.28515625" customWidth="1"/>
    <col min="11024" max="11024" width="2.140625" customWidth="1"/>
    <col min="11025" max="11025" width="9.28515625" customWidth="1"/>
    <col min="11026" max="11026" width="4" customWidth="1"/>
    <col min="11027" max="11027" width="2.85546875" customWidth="1"/>
    <col min="11028" max="11028" width="12.5703125" customWidth="1"/>
    <col min="11029" max="11029" width="1" customWidth="1"/>
    <col min="11030" max="11030" width="1.140625" customWidth="1"/>
    <col min="11031" max="11031" width="2.85546875" customWidth="1"/>
    <col min="11032" max="11032" width="9.85546875" customWidth="1"/>
    <col min="11033" max="11264" width="6.85546875" customWidth="1"/>
    <col min="11265" max="11265" width="3.140625" customWidth="1"/>
    <col min="11266" max="11266" width="21.140625" customWidth="1"/>
    <col min="11267" max="11267" width="7.42578125" customWidth="1"/>
    <col min="11268" max="11268" width="1.42578125" customWidth="1"/>
    <col min="11269" max="11269" width="11.85546875" customWidth="1"/>
    <col min="11270" max="11270" width="2.28515625" customWidth="1"/>
    <col min="11271" max="11271" width="11.28515625" customWidth="1"/>
    <col min="11272" max="11272" width="2" customWidth="1"/>
    <col min="11273" max="11273" width="12.85546875" customWidth="1"/>
    <col min="11274" max="11274" width="1.42578125" customWidth="1"/>
    <col min="11275" max="11275" width="11.5703125" customWidth="1"/>
    <col min="11276" max="11276" width="2.85546875" customWidth="1"/>
    <col min="11277" max="11277" width="1" customWidth="1"/>
    <col min="11278" max="11278" width="8" customWidth="1"/>
    <col min="11279" max="11279" width="2.28515625" customWidth="1"/>
    <col min="11280" max="11280" width="2.140625" customWidth="1"/>
    <col min="11281" max="11281" width="9.28515625" customWidth="1"/>
    <col min="11282" max="11282" width="4" customWidth="1"/>
    <col min="11283" max="11283" width="2.85546875" customWidth="1"/>
    <col min="11284" max="11284" width="12.5703125" customWidth="1"/>
    <col min="11285" max="11285" width="1" customWidth="1"/>
    <col min="11286" max="11286" width="1.140625" customWidth="1"/>
    <col min="11287" max="11287" width="2.85546875" customWidth="1"/>
    <col min="11288" max="11288" width="9.85546875" customWidth="1"/>
    <col min="11289" max="11520" width="6.85546875" customWidth="1"/>
    <col min="11521" max="11521" width="3.140625" customWidth="1"/>
    <col min="11522" max="11522" width="21.140625" customWidth="1"/>
    <col min="11523" max="11523" width="7.42578125" customWidth="1"/>
    <col min="11524" max="11524" width="1.42578125" customWidth="1"/>
    <col min="11525" max="11525" width="11.85546875" customWidth="1"/>
    <col min="11526" max="11526" width="2.28515625" customWidth="1"/>
    <col min="11527" max="11527" width="11.28515625" customWidth="1"/>
    <col min="11528" max="11528" width="2" customWidth="1"/>
    <col min="11529" max="11529" width="12.85546875" customWidth="1"/>
    <col min="11530" max="11530" width="1.42578125" customWidth="1"/>
    <col min="11531" max="11531" width="11.5703125" customWidth="1"/>
    <col min="11532" max="11532" width="2.85546875" customWidth="1"/>
    <col min="11533" max="11533" width="1" customWidth="1"/>
    <col min="11534" max="11534" width="8" customWidth="1"/>
    <col min="11535" max="11535" width="2.28515625" customWidth="1"/>
    <col min="11536" max="11536" width="2.140625" customWidth="1"/>
    <col min="11537" max="11537" width="9.28515625" customWidth="1"/>
    <col min="11538" max="11538" width="4" customWidth="1"/>
    <col min="11539" max="11539" width="2.85546875" customWidth="1"/>
    <col min="11540" max="11540" width="12.5703125" customWidth="1"/>
    <col min="11541" max="11541" width="1" customWidth="1"/>
    <col min="11542" max="11542" width="1.140625" customWidth="1"/>
    <col min="11543" max="11543" width="2.85546875" customWidth="1"/>
    <col min="11544" max="11544" width="9.85546875" customWidth="1"/>
    <col min="11545" max="11776" width="6.85546875" customWidth="1"/>
    <col min="11777" max="11777" width="3.140625" customWidth="1"/>
    <col min="11778" max="11778" width="21.140625" customWidth="1"/>
    <col min="11779" max="11779" width="7.42578125" customWidth="1"/>
    <col min="11780" max="11780" width="1.42578125" customWidth="1"/>
    <col min="11781" max="11781" width="11.85546875" customWidth="1"/>
    <col min="11782" max="11782" width="2.28515625" customWidth="1"/>
    <col min="11783" max="11783" width="11.28515625" customWidth="1"/>
    <col min="11784" max="11784" width="2" customWidth="1"/>
    <col min="11785" max="11785" width="12.85546875" customWidth="1"/>
    <col min="11786" max="11786" width="1.42578125" customWidth="1"/>
    <col min="11787" max="11787" width="11.5703125" customWidth="1"/>
    <col min="11788" max="11788" width="2.85546875" customWidth="1"/>
    <col min="11789" max="11789" width="1" customWidth="1"/>
    <col min="11790" max="11790" width="8" customWidth="1"/>
    <col min="11791" max="11791" width="2.28515625" customWidth="1"/>
    <col min="11792" max="11792" width="2.140625" customWidth="1"/>
    <col min="11793" max="11793" width="9.28515625" customWidth="1"/>
    <col min="11794" max="11794" width="4" customWidth="1"/>
    <col min="11795" max="11795" width="2.85546875" customWidth="1"/>
    <col min="11796" max="11796" width="12.5703125" customWidth="1"/>
    <col min="11797" max="11797" width="1" customWidth="1"/>
    <col min="11798" max="11798" width="1.140625" customWidth="1"/>
    <col min="11799" max="11799" width="2.85546875" customWidth="1"/>
    <col min="11800" max="11800" width="9.85546875" customWidth="1"/>
    <col min="11801" max="12032" width="6.85546875" customWidth="1"/>
    <col min="12033" max="12033" width="3.140625" customWidth="1"/>
    <col min="12034" max="12034" width="21.140625" customWidth="1"/>
    <col min="12035" max="12035" width="7.42578125" customWidth="1"/>
    <col min="12036" max="12036" width="1.42578125" customWidth="1"/>
    <col min="12037" max="12037" width="11.85546875" customWidth="1"/>
    <col min="12038" max="12038" width="2.28515625" customWidth="1"/>
    <col min="12039" max="12039" width="11.28515625" customWidth="1"/>
    <col min="12040" max="12040" width="2" customWidth="1"/>
    <col min="12041" max="12041" width="12.85546875" customWidth="1"/>
    <col min="12042" max="12042" width="1.42578125" customWidth="1"/>
    <col min="12043" max="12043" width="11.5703125" customWidth="1"/>
    <col min="12044" max="12044" width="2.85546875" customWidth="1"/>
    <col min="12045" max="12045" width="1" customWidth="1"/>
    <col min="12046" max="12046" width="8" customWidth="1"/>
    <col min="12047" max="12047" width="2.28515625" customWidth="1"/>
    <col min="12048" max="12048" width="2.140625" customWidth="1"/>
    <col min="12049" max="12049" width="9.28515625" customWidth="1"/>
    <col min="12050" max="12050" width="4" customWidth="1"/>
    <col min="12051" max="12051" width="2.85546875" customWidth="1"/>
    <col min="12052" max="12052" width="12.5703125" customWidth="1"/>
    <col min="12053" max="12053" width="1" customWidth="1"/>
    <col min="12054" max="12054" width="1.140625" customWidth="1"/>
    <col min="12055" max="12055" width="2.85546875" customWidth="1"/>
    <col min="12056" max="12056" width="9.85546875" customWidth="1"/>
    <col min="12057" max="12288" width="6.85546875" customWidth="1"/>
    <col min="12289" max="12289" width="3.140625" customWidth="1"/>
    <col min="12290" max="12290" width="21.140625" customWidth="1"/>
    <col min="12291" max="12291" width="7.42578125" customWidth="1"/>
    <col min="12292" max="12292" width="1.42578125" customWidth="1"/>
    <col min="12293" max="12293" width="11.85546875" customWidth="1"/>
    <col min="12294" max="12294" width="2.28515625" customWidth="1"/>
    <col min="12295" max="12295" width="11.28515625" customWidth="1"/>
    <col min="12296" max="12296" width="2" customWidth="1"/>
    <col min="12297" max="12297" width="12.85546875" customWidth="1"/>
    <col min="12298" max="12298" width="1.42578125" customWidth="1"/>
    <col min="12299" max="12299" width="11.5703125" customWidth="1"/>
    <col min="12300" max="12300" width="2.85546875" customWidth="1"/>
    <col min="12301" max="12301" width="1" customWidth="1"/>
    <col min="12302" max="12302" width="8" customWidth="1"/>
    <col min="12303" max="12303" width="2.28515625" customWidth="1"/>
    <col min="12304" max="12304" width="2.140625" customWidth="1"/>
    <col min="12305" max="12305" width="9.28515625" customWidth="1"/>
    <col min="12306" max="12306" width="4" customWidth="1"/>
    <col min="12307" max="12307" width="2.85546875" customWidth="1"/>
    <col min="12308" max="12308" width="12.5703125" customWidth="1"/>
    <col min="12309" max="12309" width="1" customWidth="1"/>
    <col min="12310" max="12310" width="1.140625" customWidth="1"/>
    <col min="12311" max="12311" width="2.85546875" customWidth="1"/>
    <col min="12312" max="12312" width="9.85546875" customWidth="1"/>
    <col min="12313" max="12544" width="6.85546875" customWidth="1"/>
    <col min="12545" max="12545" width="3.140625" customWidth="1"/>
    <col min="12546" max="12546" width="21.140625" customWidth="1"/>
    <col min="12547" max="12547" width="7.42578125" customWidth="1"/>
    <col min="12548" max="12548" width="1.42578125" customWidth="1"/>
    <col min="12549" max="12549" width="11.85546875" customWidth="1"/>
    <col min="12550" max="12550" width="2.28515625" customWidth="1"/>
    <col min="12551" max="12551" width="11.28515625" customWidth="1"/>
    <col min="12552" max="12552" width="2" customWidth="1"/>
    <col min="12553" max="12553" width="12.85546875" customWidth="1"/>
    <col min="12554" max="12554" width="1.42578125" customWidth="1"/>
    <col min="12555" max="12555" width="11.5703125" customWidth="1"/>
    <col min="12556" max="12556" width="2.85546875" customWidth="1"/>
    <col min="12557" max="12557" width="1" customWidth="1"/>
    <col min="12558" max="12558" width="8" customWidth="1"/>
    <col min="12559" max="12559" width="2.28515625" customWidth="1"/>
    <col min="12560" max="12560" width="2.140625" customWidth="1"/>
    <col min="12561" max="12561" width="9.28515625" customWidth="1"/>
    <col min="12562" max="12562" width="4" customWidth="1"/>
    <col min="12563" max="12563" width="2.85546875" customWidth="1"/>
    <col min="12564" max="12564" width="12.5703125" customWidth="1"/>
    <col min="12565" max="12565" width="1" customWidth="1"/>
    <col min="12566" max="12566" width="1.140625" customWidth="1"/>
    <col min="12567" max="12567" width="2.85546875" customWidth="1"/>
    <col min="12568" max="12568" width="9.85546875" customWidth="1"/>
    <col min="12569" max="12800" width="6.85546875" customWidth="1"/>
    <col min="12801" max="12801" width="3.140625" customWidth="1"/>
    <col min="12802" max="12802" width="21.140625" customWidth="1"/>
    <col min="12803" max="12803" width="7.42578125" customWidth="1"/>
    <col min="12804" max="12804" width="1.42578125" customWidth="1"/>
    <col min="12805" max="12805" width="11.85546875" customWidth="1"/>
    <col min="12806" max="12806" width="2.28515625" customWidth="1"/>
    <col min="12807" max="12807" width="11.28515625" customWidth="1"/>
    <col min="12808" max="12808" width="2" customWidth="1"/>
    <col min="12809" max="12809" width="12.85546875" customWidth="1"/>
    <col min="12810" max="12810" width="1.42578125" customWidth="1"/>
    <col min="12811" max="12811" width="11.5703125" customWidth="1"/>
    <col min="12812" max="12812" width="2.85546875" customWidth="1"/>
    <col min="12813" max="12813" width="1" customWidth="1"/>
    <col min="12814" max="12814" width="8" customWidth="1"/>
    <col min="12815" max="12815" width="2.28515625" customWidth="1"/>
    <col min="12816" max="12816" width="2.140625" customWidth="1"/>
    <col min="12817" max="12817" width="9.28515625" customWidth="1"/>
    <col min="12818" max="12818" width="4" customWidth="1"/>
    <col min="12819" max="12819" width="2.85546875" customWidth="1"/>
    <col min="12820" max="12820" width="12.5703125" customWidth="1"/>
    <col min="12821" max="12821" width="1" customWidth="1"/>
    <col min="12822" max="12822" width="1.140625" customWidth="1"/>
    <col min="12823" max="12823" width="2.85546875" customWidth="1"/>
    <col min="12824" max="12824" width="9.85546875" customWidth="1"/>
    <col min="12825" max="13056" width="6.85546875" customWidth="1"/>
    <col min="13057" max="13057" width="3.140625" customWidth="1"/>
    <col min="13058" max="13058" width="21.140625" customWidth="1"/>
    <col min="13059" max="13059" width="7.42578125" customWidth="1"/>
    <col min="13060" max="13060" width="1.42578125" customWidth="1"/>
    <col min="13061" max="13061" width="11.85546875" customWidth="1"/>
    <col min="13062" max="13062" width="2.28515625" customWidth="1"/>
    <col min="13063" max="13063" width="11.28515625" customWidth="1"/>
    <col min="13064" max="13064" width="2" customWidth="1"/>
    <col min="13065" max="13065" width="12.85546875" customWidth="1"/>
    <col min="13066" max="13066" width="1.42578125" customWidth="1"/>
    <col min="13067" max="13067" width="11.5703125" customWidth="1"/>
    <col min="13068" max="13068" width="2.85546875" customWidth="1"/>
    <col min="13069" max="13069" width="1" customWidth="1"/>
    <col min="13070" max="13070" width="8" customWidth="1"/>
    <col min="13071" max="13071" width="2.28515625" customWidth="1"/>
    <col min="13072" max="13072" width="2.140625" customWidth="1"/>
    <col min="13073" max="13073" width="9.28515625" customWidth="1"/>
    <col min="13074" max="13074" width="4" customWidth="1"/>
    <col min="13075" max="13075" width="2.85546875" customWidth="1"/>
    <col min="13076" max="13076" width="12.5703125" customWidth="1"/>
    <col min="13077" max="13077" width="1" customWidth="1"/>
    <col min="13078" max="13078" width="1.140625" customWidth="1"/>
    <col min="13079" max="13079" width="2.85546875" customWidth="1"/>
    <col min="13080" max="13080" width="9.85546875" customWidth="1"/>
    <col min="13081" max="13312" width="6.85546875" customWidth="1"/>
    <col min="13313" max="13313" width="3.140625" customWidth="1"/>
    <col min="13314" max="13314" width="21.140625" customWidth="1"/>
    <col min="13315" max="13315" width="7.42578125" customWidth="1"/>
    <col min="13316" max="13316" width="1.42578125" customWidth="1"/>
    <col min="13317" max="13317" width="11.85546875" customWidth="1"/>
    <col min="13318" max="13318" width="2.28515625" customWidth="1"/>
    <col min="13319" max="13319" width="11.28515625" customWidth="1"/>
    <col min="13320" max="13320" width="2" customWidth="1"/>
    <col min="13321" max="13321" width="12.85546875" customWidth="1"/>
    <col min="13322" max="13322" width="1.42578125" customWidth="1"/>
    <col min="13323" max="13323" width="11.5703125" customWidth="1"/>
    <col min="13324" max="13324" width="2.85546875" customWidth="1"/>
    <col min="13325" max="13325" width="1" customWidth="1"/>
    <col min="13326" max="13326" width="8" customWidth="1"/>
    <col min="13327" max="13327" width="2.28515625" customWidth="1"/>
    <col min="13328" max="13328" width="2.140625" customWidth="1"/>
    <col min="13329" max="13329" width="9.28515625" customWidth="1"/>
    <col min="13330" max="13330" width="4" customWidth="1"/>
    <col min="13331" max="13331" width="2.85546875" customWidth="1"/>
    <col min="13332" max="13332" width="12.5703125" customWidth="1"/>
    <col min="13333" max="13333" width="1" customWidth="1"/>
    <col min="13334" max="13334" width="1.140625" customWidth="1"/>
    <col min="13335" max="13335" width="2.85546875" customWidth="1"/>
    <col min="13336" max="13336" width="9.85546875" customWidth="1"/>
    <col min="13337" max="13568" width="6.85546875" customWidth="1"/>
    <col min="13569" max="13569" width="3.140625" customWidth="1"/>
    <col min="13570" max="13570" width="21.140625" customWidth="1"/>
    <col min="13571" max="13571" width="7.42578125" customWidth="1"/>
    <col min="13572" max="13572" width="1.42578125" customWidth="1"/>
    <col min="13573" max="13573" width="11.85546875" customWidth="1"/>
    <col min="13574" max="13574" width="2.28515625" customWidth="1"/>
    <col min="13575" max="13575" width="11.28515625" customWidth="1"/>
    <col min="13576" max="13576" width="2" customWidth="1"/>
    <col min="13577" max="13577" width="12.85546875" customWidth="1"/>
    <col min="13578" max="13578" width="1.42578125" customWidth="1"/>
    <col min="13579" max="13579" width="11.5703125" customWidth="1"/>
    <col min="13580" max="13580" width="2.85546875" customWidth="1"/>
    <col min="13581" max="13581" width="1" customWidth="1"/>
    <col min="13582" max="13582" width="8" customWidth="1"/>
    <col min="13583" max="13583" width="2.28515625" customWidth="1"/>
    <col min="13584" max="13584" width="2.140625" customWidth="1"/>
    <col min="13585" max="13585" width="9.28515625" customWidth="1"/>
    <col min="13586" max="13586" width="4" customWidth="1"/>
    <col min="13587" max="13587" width="2.85546875" customWidth="1"/>
    <col min="13588" max="13588" width="12.5703125" customWidth="1"/>
    <col min="13589" max="13589" width="1" customWidth="1"/>
    <col min="13590" max="13590" width="1.140625" customWidth="1"/>
    <col min="13591" max="13591" width="2.85546875" customWidth="1"/>
    <col min="13592" max="13592" width="9.85546875" customWidth="1"/>
    <col min="13593" max="13824" width="6.85546875" customWidth="1"/>
    <col min="13825" max="13825" width="3.140625" customWidth="1"/>
    <col min="13826" max="13826" width="21.140625" customWidth="1"/>
    <col min="13827" max="13827" width="7.42578125" customWidth="1"/>
    <col min="13828" max="13828" width="1.42578125" customWidth="1"/>
    <col min="13829" max="13829" width="11.85546875" customWidth="1"/>
    <col min="13830" max="13830" width="2.28515625" customWidth="1"/>
    <col min="13831" max="13831" width="11.28515625" customWidth="1"/>
    <col min="13832" max="13832" width="2" customWidth="1"/>
    <col min="13833" max="13833" width="12.85546875" customWidth="1"/>
    <col min="13834" max="13834" width="1.42578125" customWidth="1"/>
    <col min="13835" max="13835" width="11.5703125" customWidth="1"/>
    <col min="13836" max="13836" width="2.85546875" customWidth="1"/>
    <col min="13837" max="13837" width="1" customWidth="1"/>
    <col min="13838" max="13838" width="8" customWidth="1"/>
    <col min="13839" max="13839" width="2.28515625" customWidth="1"/>
    <col min="13840" max="13840" width="2.140625" customWidth="1"/>
    <col min="13841" max="13841" width="9.28515625" customWidth="1"/>
    <col min="13842" max="13842" width="4" customWidth="1"/>
    <col min="13843" max="13843" width="2.85546875" customWidth="1"/>
    <col min="13844" max="13844" width="12.5703125" customWidth="1"/>
    <col min="13845" max="13845" width="1" customWidth="1"/>
    <col min="13846" max="13846" width="1.140625" customWidth="1"/>
    <col min="13847" max="13847" width="2.85546875" customWidth="1"/>
    <col min="13848" max="13848" width="9.85546875" customWidth="1"/>
    <col min="13849" max="14080" width="6.85546875" customWidth="1"/>
    <col min="14081" max="14081" width="3.140625" customWidth="1"/>
    <col min="14082" max="14082" width="21.140625" customWidth="1"/>
    <col min="14083" max="14083" width="7.42578125" customWidth="1"/>
    <col min="14084" max="14084" width="1.42578125" customWidth="1"/>
    <col min="14085" max="14085" width="11.85546875" customWidth="1"/>
    <col min="14086" max="14086" width="2.28515625" customWidth="1"/>
    <col min="14087" max="14087" width="11.28515625" customWidth="1"/>
    <col min="14088" max="14088" width="2" customWidth="1"/>
    <col min="14089" max="14089" width="12.85546875" customWidth="1"/>
    <col min="14090" max="14090" width="1.42578125" customWidth="1"/>
    <col min="14091" max="14091" width="11.5703125" customWidth="1"/>
    <col min="14092" max="14092" width="2.85546875" customWidth="1"/>
    <col min="14093" max="14093" width="1" customWidth="1"/>
    <col min="14094" max="14094" width="8" customWidth="1"/>
    <col min="14095" max="14095" width="2.28515625" customWidth="1"/>
    <col min="14096" max="14096" width="2.140625" customWidth="1"/>
    <col min="14097" max="14097" width="9.28515625" customWidth="1"/>
    <col min="14098" max="14098" width="4" customWidth="1"/>
    <col min="14099" max="14099" width="2.85546875" customWidth="1"/>
    <col min="14100" max="14100" width="12.5703125" customWidth="1"/>
    <col min="14101" max="14101" width="1" customWidth="1"/>
    <col min="14102" max="14102" width="1.140625" customWidth="1"/>
    <col min="14103" max="14103" width="2.85546875" customWidth="1"/>
    <col min="14104" max="14104" width="9.85546875" customWidth="1"/>
    <col min="14105" max="14336" width="6.85546875" customWidth="1"/>
    <col min="14337" max="14337" width="3.140625" customWidth="1"/>
    <col min="14338" max="14338" width="21.140625" customWidth="1"/>
    <col min="14339" max="14339" width="7.42578125" customWidth="1"/>
    <col min="14340" max="14340" width="1.42578125" customWidth="1"/>
    <col min="14341" max="14341" width="11.85546875" customWidth="1"/>
    <col min="14342" max="14342" width="2.28515625" customWidth="1"/>
    <col min="14343" max="14343" width="11.28515625" customWidth="1"/>
    <col min="14344" max="14344" width="2" customWidth="1"/>
    <col min="14345" max="14345" width="12.85546875" customWidth="1"/>
    <col min="14346" max="14346" width="1.42578125" customWidth="1"/>
    <col min="14347" max="14347" width="11.5703125" customWidth="1"/>
    <col min="14348" max="14348" width="2.85546875" customWidth="1"/>
    <col min="14349" max="14349" width="1" customWidth="1"/>
    <col min="14350" max="14350" width="8" customWidth="1"/>
    <col min="14351" max="14351" width="2.28515625" customWidth="1"/>
    <col min="14352" max="14352" width="2.140625" customWidth="1"/>
    <col min="14353" max="14353" width="9.28515625" customWidth="1"/>
    <col min="14354" max="14354" width="4" customWidth="1"/>
    <col min="14355" max="14355" width="2.85546875" customWidth="1"/>
    <col min="14356" max="14356" width="12.5703125" customWidth="1"/>
    <col min="14357" max="14357" width="1" customWidth="1"/>
    <col min="14358" max="14358" width="1.140625" customWidth="1"/>
    <col min="14359" max="14359" width="2.85546875" customWidth="1"/>
    <col min="14360" max="14360" width="9.85546875" customWidth="1"/>
    <col min="14361" max="14592" width="6.85546875" customWidth="1"/>
    <col min="14593" max="14593" width="3.140625" customWidth="1"/>
    <col min="14594" max="14594" width="21.140625" customWidth="1"/>
    <col min="14595" max="14595" width="7.42578125" customWidth="1"/>
    <col min="14596" max="14596" width="1.42578125" customWidth="1"/>
    <col min="14597" max="14597" width="11.85546875" customWidth="1"/>
    <col min="14598" max="14598" width="2.28515625" customWidth="1"/>
    <col min="14599" max="14599" width="11.28515625" customWidth="1"/>
    <col min="14600" max="14600" width="2" customWidth="1"/>
    <col min="14601" max="14601" width="12.85546875" customWidth="1"/>
    <col min="14602" max="14602" width="1.42578125" customWidth="1"/>
    <col min="14603" max="14603" width="11.5703125" customWidth="1"/>
    <col min="14604" max="14604" width="2.85546875" customWidth="1"/>
    <col min="14605" max="14605" width="1" customWidth="1"/>
    <col min="14606" max="14606" width="8" customWidth="1"/>
    <col min="14607" max="14607" width="2.28515625" customWidth="1"/>
    <col min="14608" max="14608" width="2.140625" customWidth="1"/>
    <col min="14609" max="14609" width="9.28515625" customWidth="1"/>
    <col min="14610" max="14610" width="4" customWidth="1"/>
    <col min="14611" max="14611" width="2.85546875" customWidth="1"/>
    <col min="14612" max="14612" width="12.5703125" customWidth="1"/>
    <col min="14613" max="14613" width="1" customWidth="1"/>
    <col min="14614" max="14614" width="1.140625" customWidth="1"/>
    <col min="14615" max="14615" width="2.85546875" customWidth="1"/>
    <col min="14616" max="14616" width="9.85546875" customWidth="1"/>
    <col min="14617" max="14848" width="6.85546875" customWidth="1"/>
    <col min="14849" max="14849" width="3.140625" customWidth="1"/>
    <col min="14850" max="14850" width="21.140625" customWidth="1"/>
    <col min="14851" max="14851" width="7.42578125" customWidth="1"/>
    <col min="14852" max="14852" width="1.42578125" customWidth="1"/>
    <col min="14853" max="14853" width="11.85546875" customWidth="1"/>
    <col min="14854" max="14854" width="2.28515625" customWidth="1"/>
    <col min="14855" max="14855" width="11.28515625" customWidth="1"/>
    <col min="14856" max="14856" width="2" customWidth="1"/>
    <col min="14857" max="14857" width="12.85546875" customWidth="1"/>
    <col min="14858" max="14858" width="1.42578125" customWidth="1"/>
    <col min="14859" max="14859" width="11.5703125" customWidth="1"/>
    <col min="14860" max="14860" width="2.85546875" customWidth="1"/>
    <col min="14861" max="14861" width="1" customWidth="1"/>
    <col min="14862" max="14862" width="8" customWidth="1"/>
    <col min="14863" max="14863" width="2.28515625" customWidth="1"/>
    <col min="14864" max="14864" width="2.140625" customWidth="1"/>
    <col min="14865" max="14865" width="9.28515625" customWidth="1"/>
    <col min="14866" max="14866" width="4" customWidth="1"/>
    <col min="14867" max="14867" width="2.85546875" customWidth="1"/>
    <col min="14868" max="14868" width="12.5703125" customWidth="1"/>
    <col min="14869" max="14869" width="1" customWidth="1"/>
    <col min="14870" max="14870" width="1.140625" customWidth="1"/>
    <col min="14871" max="14871" width="2.85546875" customWidth="1"/>
    <col min="14872" max="14872" width="9.85546875" customWidth="1"/>
    <col min="14873" max="15104" width="6.85546875" customWidth="1"/>
    <col min="15105" max="15105" width="3.140625" customWidth="1"/>
    <col min="15106" max="15106" width="21.140625" customWidth="1"/>
    <col min="15107" max="15107" width="7.42578125" customWidth="1"/>
    <col min="15108" max="15108" width="1.42578125" customWidth="1"/>
    <col min="15109" max="15109" width="11.85546875" customWidth="1"/>
    <col min="15110" max="15110" width="2.28515625" customWidth="1"/>
    <col min="15111" max="15111" width="11.28515625" customWidth="1"/>
    <col min="15112" max="15112" width="2" customWidth="1"/>
    <col min="15113" max="15113" width="12.85546875" customWidth="1"/>
    <col min="15114" max="15114" width="1.42578125" customWidth="1"/>
    <col min="15115" max="15115" width="11.5703125" customWidth="1"/>
    <col min="15116" max="15116" width="2.85546875" customWidth="1"/>
    <col min="15117" max="15117" width="1" customWidth="1"/>
    <col min="15118" max="15118" width="8" customWidth="1"/>
    <col min="15119" max="15119" width="2.28515625" customWidth="1"/>
    <col min="15120" max="15120" width="2.140625" customWidth="1"/>
    <col min="15121" max="15121" width="9.28515625" customWidth="1"/>
    <col min="15122" max="15122" width="4" customWidth="1"/>
    <col min="15123" max="15123" width="2.85546875" customWidth="1"/>
    <col min="15124" max="15124" width="12.5703125" customWidth="1"/>
    <col min="15125" max="15125" width="1" customWidth="1"/>
    <col min="15126" max="15126" width="1.140625" customWidth="1"/>
    <col min="15127" max="15127" width="2.85546875" customWidth="1"/>
    <col min="15128" max="15128" width="9.85546875" customWidth="1"/>
    <col min="15129" max="15360" width="6.85546875" customWidth="1"/>
    <col min="15361" max="15361" width="3.140625" customWidth="1"/>
    <col min="15362" max="15362" width="21.140625" customWidth="1"/>
    <col min="15363" max="15363" width="7.42578125" customWidth="1"/>
    <col min="15364" max="15364" width="1.42578125" customWidth="1"/>
    <col min="15365" max="15365" width="11.85546875" customWidth="1"/>
    <col min="15366" max="15366" width="2.28515625" customWidth="1"/>
    <col min="15367" max="15367" width="11.28515625" customWidth="1"/>
    <col min="15368" max="15368" width="2" customWidth="1"/>
    <col min="15369" max="15369" width="12.85546875" customWidth="1"/>
    <col min="15370" max="15370" width="1.42578125" customWidth="1"/>
    <col min="15371" max="15371" width="11.5703125" customWidth="1"/>
    <col min="15372" max="15372" width="2.85546875" customWidth="1"/>
    <col min="15373" max="15373" width="1" customWidth="1"/>
    <col min="15374" max="15374" width="8" customWidth="1"/>
    <col min="15375" max="15375" width="2.28515625" customWidth="1"/>
    <col min="15376" max="15376" width="2.140625" customWidth="1"/>
    <col min="15377" max="15377" width="9.28515625" customWidth="1"/>
    <col min="15378" max="15378" width="4" customWidth="1"/>
    <col min="15379" max="15379" width="2.85546875" customWidth="1"/>
    <col min="15380" max="15380" width="12.5703125" customWidth="1"/>
    <col min="15381" max="15381" width="1" customWidth="1"/>
    <col min="15382" max="15382" width="1.140625" customWidth="1"/>
    <col min="15383" max="15383" width="2.85546875" customWidth="1"/>
    <col min="15384" max="15384" width="9.85546875" customWidth="1"/>
    <col min="15385" max="15616" width="6.85546875" customWidth="1"/>
    <col min="15617" max="15617" width="3.140625" customWidth="1"/>
    <col min="15618" max="15618" width="21.140625" customWidth="1"/>
    <col min="15619" max="15619" width="7.42578125" customWidth="1"/>
    <col min="15620" max="15620" width="1.42578125" customWidth="1"/>
    <col min="15621" max="15621" width="11.85546875" customWidth="1"/>
    <col min="15622" max="15622" width="2.28515625" customWidth="1"/>
    <col min="15623" max="15623" width="11.28515625" customWidth="1"/>
    <col min="15624" max="15624" width="2" customWidth="1"/>
    <col min="15625" max="15625" width="12.85546875" customWidth="1"/>
    <col min="15626" max="15626" width="1.42578125" customWidth="1"/>
    <col min="15627" max="15627" width="11.5703125" customWidth="1"/>
    <col min="15628" max="15628" width="2.85546875" customWidth="1"/>
    <col min="15629" max="15629" width="1" customWidth="1"/>
    <col min="15630" max="15630" width="8" customWidth="1"/>
    <col min="15631" max="15631" width="2.28515625" customWidth="1"/>
    <col min="15632" max="15632" width="2.140625" customWidth="1"/>
    <col min="15633" max="15633" width="9.28515625" customWidth="1"/>
    <col min="15634" max="15634" width="4" customWidth="1"/>
    <col min="15635" max="15635" width="2.85546875" customWidth="1"/>
    <col min="15636" max="15636" width="12.5703125" customWidth="1"/>
    <col min="15637" max="15637" width="1" customWidth="1"/>
    <col min="15638" max="15638" width="1.140625" customWidth="1"/>
    <col min="15639" max="15639" width="2.85546875" customWidth="1"/>
    <col min="15640" max="15640" width="9.85546875" customWidth="1"/>
    <col min="15641" max="15872" width="6.85546875" customWidth="1"/>
    <col min="15873" max="15873" width="3.140625" customWidth="1"/>
    <col min="15874" max="15874" width="21.140625" customWidth="1"/>
    <col min="15875" max="15875" width="7.42578125" customWidth="1"/>
    <col min="15876" max="15876" width="1.42578125" customWidth="1"/>
    <col min="15877" max="15877" width="11.85546875" customWidth="1"/>
    <col min="15878" max="15878" width="2.28515625" customWidth="1"/>
    <col min="15879" max="15879" width="11.28515625" customWidth="1"/>
    <col min="15880" max="15880" width="2" customWidth="1"/>
    <col min="15881" max="15881" width="12.85546875" customWidth="1"/>
    <col min="15882" max="15882" width="1.42578125" customWidth="1"/>
    <col min="15883" max="15883" width="11.5703125" customWidth="1"/>
    <col min="15884" max="15884" width="2.85546875" customWidth="1"/>
    <col min="15885" max="15885" width="1" customWidth="1"/>
    <col min="15886" max="15886" width="8" customWidth="1"/>
    <col min="15887" max="15887" width="2.28515625" customWidth="1"/>
    <col min="15888" max="15888" width="2.140625" customWidth="1"/>
    <col min="15889" max="15889" width="9.28515625" customWidth="1"/>
    <col min="15890" max="15890" width="4" customWidth="1"/>
    <col min="15891" max="15891" width="2.85546875" customWidth="1"/>
    <col min="15892" max="15892" width="12.5703125" customWidth="1"/>
    <col min="15893" max="15893" width="1" customWidth="1"/>
    <col min="15894" max="15894" width="1.140625" customWidth="1"/>
    <col min="15895" max="15895" width="2.85546875" customWidth="1"/>
    <col min="15896" max="15896" width="9.85546875" customWidth="1"/>
    <col min="15897" max="16128" width="6.85546875" customWidth="1"/>
    <col min="16129" max="16129" width="3.140625" customWidth="1"/>
    <col min="16130" max="16130" width="21.140625" customWidth="1"/>
    <col min="16131" max="16131" width="7.42578125" customWidth="1"/>
    <col min="16132" max="16132" width="1.42578125" customWidth="1"/>
    <col min="16133" max="16133" width="11.85546875" customWidth="1"/>
    <col min="16134" max="16134" width="2.28515625" customWidth="1"/>
    <col min="16135" max="16135" width="11.28515625" customWidth="1"/>
    <col min="16136" max="16136" width="2" customWidth="1"/>
    <col min="16137" max="16137" width="12.85546875" customWidth="1"/>
    <col min="16138" max="16138" width="1.42578125" customWidth="1"/>
    <col min="16139" max="16139" width="11.5703125" customWidth="1"/>
    <col min="16140" max="16140" width="2.85546875" customWidth="1"/>
    <col min="16141" max="16141" width="1" customWidth="1"/>
    <col min="16142" max="16142" width="8" customWidth="1"/>
    <col min="16143" max="16143" width="2.28515625" customWidth="1"/>
    <col min="16144" max="16144" width="2.140625" customWidth="1"/>
    <col min="16145" max="16145" width="9.28515625" customWidth="1"/>
    <col min="16146" max="16146" width="4" customWidth="1"/>
    <col min="16147" max="16147" width="2.85546875" customWidth="1"/>
    <col min="16148" max="16148" width="12.5703125" customWidth="1"/>
    <col min="16149" max="16149" width="1" customWidth="1"/>
    <col min="16150" max="16150" width="1.140625" customWidth="1"/>
    <col min="16151" max="16151" width="2.85546875" customWidth="1"/>
    <col min="16152" max="16152" width="9.85546875" customWidth="1"/>
    <col min="16153" max="16384" width="6.85546875" customWidth="1"/>
  </cols>
  <sheetData>
    <row r="1" spans="1:27" ht="6" customHeight="1"/>
    <row r="2" spans="1:27" ht="18.75" customHeight="1">
      <c r="R2" s="619" t="s">
        <v>689</v>
      </c>
      <c r="S2" s="619"/>
      <c r="T2" s="619"/>
      <c r="U2" s="619"/>
      <c r="V2" s="619"/>
      <c r="W2" s="619"/>
    </row>
    <row r="3" spans="1:27" ht="24" customHeight="1">
      <c r="A3" s="620" t="s">
        <v>690</v>
      </c>
      <c r="B3" s="620"/>
      <c r="C3" s="620"/>
      <c r="D3" s="620"/>
      <c r="E3" s="620"/>
      <c r="F3" s="620"/>
      <c r="G3" s="620"/>
      <c r="H3" s="620"/>
      <c r="I3" s="620"/>
      <c r="J3" s="620"/>
      <c r="K3" s="620"/>
      <c r="L3" s="620"/>
      <c r="M3" s="620"/>
      <c r="N3" s="620"/>
      <c r="O3" s="620"/>
      <c r="P3" s="620"/>
      <c r="Q3" s="620"/>
      <c r="R3" s="620"/>
      <c r="S3" s="620"/>
      <c r="T3" s="620"/>
      <c r="U3" s="620"/>
      <c r="V3" s="620"/>
      <c r="W3" s="620"/>
    </row>
    <row r="4" spans="1:27" ht="24" customHeight="1">
      <c r="A4" s="620" t="s">
        <v>691</v>
      </c>
      <c r="B4" s="620"/>
      <c r="C4" s="620"/>
      <c r="D4" s="620"/>
      <c r="E4" s="620"/>
      <c r="F4" s="620"/>
      <c r="G4" s="620"/>
      <c r="H4" s="620"/>
      <c r="I4" s="620"/>
      <c r="J4" s="620"/>
      <c r="K4" s="620"/>
      <c r="L4" s="620"/>
      <c r="M4" s="620"/>
      <c r="N4" s="620"/>
      <c r="O4" s="620"/>
      <c r="P4" s="620"/>
      <c r="Q4" s="620"/>
      <c r="R4" s="620"/>
      <c r="S4" s="620"/>
      <c r="T4" s="620"/>
      <c r="U4" s="620"/>
      <c r="V4" s="620"/>
      <c r="W4" s="620"/>
    </row>
    <row r="5" spans="1:27" ht="24" customHeight="1">
      <c r="A5" s="620" t="s">
        <v>692</v>
      </c>
      <c r="B5" s="620"/>
      <c r="C5" s="620"/>
      <c r="D5" s="620"/>
      <c r="E5" s="620"/>
      <c r="F5" s="620"/>
      <c r="G5" s="620"/>
      <c r="H5" s="620"/>
      <c r="I5" s="620"/>
      <c r="J5" s="620"/>
      <c r="K5" s="620"/>
      <c r="L5" s="620"/>
      <c r="M5" s="620"/>
      <c r="N5" s="620"/>
      <c r="O5" s="620"/>
      <c r="P5" s="620"/>
      <c r="Q5" s="620"/>
      <c r="R5" s="620"/>
      <c r="S5" s="620"/>
      <c r="T5" s="620"/>
      <c r="U5" s="620"/>
      <c r="V5" s="620"/>
      <c r="W5" s="620"/>
    </row>
    <row r="6" spans="1:27" ht="20.25" customHeight="1"/>
    <row r="7" spans="1:27" ht="12" customHeight="1">
      <c r="A7" s="621" t="s">
        <v>693</v>
      </c>
      <c r="B7" s="621"/>
      <c r="C7" s="621"/>
      <c r="E7" s="621" t="s">
        <v>694</v>
      </c>
      <c r="F7" s="621" t="s">
        <v>695</v>
      </c>
      <c r="G7" s="621"/>
      <c r="H7" s="621" t="s">
        <v>696</v>
      </c>
      <c r="I7" s="621"/>
      <c r="K7" s="621" t="s">
        <v>697</v>
      </c>
      <c r="L7" s="621"/>
      <c r="N7" s="621" t="s">
        <v>698</v>
      </c>
      <c r="Q7" s="621" t="s">
        <v>699</v>
      </c>
      <c r="R7" s="621"/>
      <c r="T7" s="621" t="s">
        <v>700</v>
      </c>
      <c r="W7" s="621" t="s">
        <v>701</v>
      </c>
      <c r="X7" s="621"/>
    </row>
    <row r="8" spans="1:27" ht="12" customHeight="1">
      <c r="A8" s="621"/>
      <c r="B8" s="621"/>
      <c r="C8" s="621"/>
      <c r="E8" s="621"/>
      <c r="F8" s="621"/>
      <c r="G8" s="621"/>
      <c r="H8" s="621"/>
      <c r="I8" s="621"/>
      <c r="K8" s="621"/>
      <c r="L8" s="621"/>
      <c r="N8" s="621"/>
      <c r="Q8" s="621"/>
      <c r="R8" s="621"/>
      <c r="T8" s="621"/>
      <c r="W8" s="621"/>
      <c r="X8" s="621"/>
    </row>
    <row r="9" spans="1:27" ht="16.5" customHeight="1">
      <c r="A9" s="621"/>
      <c r="B9" s="621"/>
      <c r="C9" s="621"/>
      <c r="E9" s="621"/>
      <c r="F9" s="621"/>
      <c r="G9" s="621"/>
      <c r="H9" s="621"/>
      <c r="I9" s="621"/>
      <c r="K9" s="621"/>
      <c r="L9" s="621"/>
      <c r="N9" s="621"/>
      <c r="Q9" s="621"/>
      <c r="R9" s="621"/>
      <c r="T9" s="621"/>
      <c r="W9" s="621"/>
      <c r="X9" s="621"/>
    </row>
    <row r="10" spans="1:27" ht="6" customHeight="1"/>
    <row r="11" spans="1:27" s="584" customFormat="1" ht="14.25" customHeight="1">
      <c r="B11" s="618" t="s">
        <v>702</v>
      </c>
      <c r="C11" s="618"/>
      <c r="E11" s="585">
        <v>530993</v>
      </c>
      <c r="G11" s="585">
        <v>530993</v>
      </c>
      <c r="I11" s="585">
        <v>530993</v>
      </c>
      <c r="Y11" s="586"/>
      <c r="Z11" s="586"/>
      <c r="AA11" s="586"/>
    </row>
    <row r="12" spans="1:27" s="584" customFormat="1" ht="14.25" customHeight="1">
      <c r="B12" s="618"/>
      <c r="C12" s="618"/>
      <c r="Y12" s="586"/>
      <c r="Z12" s="586"/>
      <c r="AA12" s="586"/>
    </row>
    <row r="13" spans="1:27" s="584" customFormat="1" ht="14.25" customHeight="1">
      <c r="B13" s="618" t="s">
        <v>703</v>
      </c>
      <c r="C13" s="618"/>
      <c r="E13" s="585">
        <v>3</v>
      </c>
      <c r="G13" s="585">
        <v>3</v>
      </c>
      <c r="I13" s="585">
        <v>3</v>
      </c>
      <c r="Y13" s="586"/>
      <c r="Z13" s="586"/>
      <c r="AA13" s="586"/>
    </row>
    <row r="14" spans="1:27" s="584" customFormat="1" ht="14.25" customHeight="1">
      <c r="B14" s="618"/>
      <c r="C14" s="618"/>
      <c r="Y14" s="586"/>
      <c r="Z14" s="586"/>
      <c r="AA14" s="586"/>
    </row>
    <row r="15" spans="1:27" ht="14.25" customHeight="1">
      <c r="B15" s="609" t="s">
        <v>704</v>
      </c>
      <c r="C15" s="609"/>
      <c r="E15" s="574">
        <v>3183747</v>
      </c>
      <c r="G15" s="574">
        <v>3084832</v>
      </c>
      <c r="I15" s="574">
        <v>3084832</v>
      </c>
      <c r="Q15" s="610">
        <v>98915</v>
      </c>
      <c r="R15" s="610"/>
      <c r="T15" s="610">
        <v>98915</v>
      </c>
      <c r="U15" s="610"/>
      <c r="W15" s="610">
        <v>98915</v>
      </c>
      <c r="X15" s="610"/>
    </row>
    <row r="16" spans="1:27" ht="14.25" customHeight="1">
      <c r="B16" s="609"/>
      <c r="C16" s="609"/>
    </row>
    <row r="17" spans="2:24" ht="14.25" customHeight="1">
      <c r="B17" s="609" t="s">
        <v>705</v>
      </c>
      <c r="C17" s="609"/>
      <c r="E17" s="574">
        <v>888564</v>
      </c>
      <c r="G17" s="574">
        <v>862741</v>
      </c>
      <c r="I17" s="574">
        <v>862741</v>
      </c>
      <c r="Q17" s="610">
        <v>25823</v>
      </c>
      <c r="R17" s="610"/>
      <c r="T17" s="610">
        <v>25823</v>
      </c>
      <c r="U17" s="610"/>
      <c r="W17" s="610">
        <v>25823</v>
      </c>
      <c r="X17" s="610"/>
    </row>
    <row r="18" spans="2:24" ht="14.25" customHeight="1">
      <c r="B18" s="609"/>
      <c r="C18" s="609"/>
    </row>
    <row r="19" spans="2:24" ht="14.25" customHeight="1">
      <c r="B19" s="609" t="s">
        <v>706</v>
      </c>
      <c r="C19" s="609"/>
      <c r="E19" s="574">
        <v>307131</v>
      </c>
      <c r="G19" s="574">
        <v>303868</v>
      </c>
      <c r="I19" s="574">
        <v>303868</v>
      </c>
      <c r="Q19" s="610">
        <v>3263</v>
      </c>
      <c r="R19" s="610"/>
      <c r="T19" s="610">
        <v>3263</v>
      </c>
      <c r="U19" s="610"/>
      <c r="W19" s="610">
        <v>3263</v>
      </c>
      <c r="X19" s="610"/>
    </row>
    <row r="20" spans="2:24" ht="14.25" customHeight="1">
      <c r="B20" s="609"/>
      <c r="C20" s="609"/>
    </row>
    <row r="21" spans="2:24" ht="14.25" customHeight="1">
      <c r="B21" s="609" t="s">
        <v>707</v>
      </c>
      <c r="C21" s="609"/>
      <c r="E21" s="574">
        <v>152315</v>
      </c>
      <c r="G21" s="574">
        <v>152315</v>
      </c>
      <c r="I21" s="574">
        <v>152315</v>
      </c>
    </row>
    <row r="22" spans="2:24" ht="14.25" customHeight="1">
      <c r="B22" s="609"/>
      <c r="C22" s="609"/>
    </row>
    <row r="23" spans="2:24" ht="14.25" customHeight="1">
      <c r="B23" s="609" t="s">
        <v>708</v>
      </c>
      <c r="C23" s="609"/>
      <c r="E23" s="574">
        <v>535664</v>
      </c>
      <c r="G23" s="574">
        <v>510163</v>
      </c>
      <c r="I23" s="574">
        <v>514348</v>
      </c>
      <c r="Q23" s="610">
        <v>21316</v>
      </c>
      <c r="R23" s="610"/>
      <c r="T23" s="610">
        <v>21316</v>
      </c>
      <c r="U23" s="610"/>
      <c r="W23" s="610">
        <v>21316</v>
      </c>
      <c r="X23" s="610"/>
    </row>
    <row r="24" spans="2:24" ht="14.25" customHeight="1">
      <c r="B24" s="609"/>
      <c r="C24" s="609"/>
    </row>
    <row r="25" spans="2:24" ht="14.25" customHeight="1">
      <c r="B25" s="609" t="s">
        <v>709</v>
      </c>
      <c r="C25" s="609"/>
      <c r="E25" s="574">
        <v>2416</v>
      </c>
      <c r="G25" s="574">
        <v>2416</v>
      </c>
      <c r="I25" s="574">
        <v>2416</v>
      </c>
    </row>
    <row r="26" spans="2:24" ht="14.25" customHeight="1">
      <c r="B26" s="609"/>
      <c r="C26" s="609"/>
    </row>
    <row r="27" spans="2:24" ht="14.25" customHeight="1">
      <c r="B27" s="609" t="s">
        <v>710</v>
      </c>
      <c r="C27" s="609"/>
      <c r="E27" s="574">
        <v>129491</v>
      </c>
      <c r="G27" s="574">
        <v>125207</v>
      </c>
      <c r="I27" s="574">
        <v>125335</v>
      </c>
      <c r="Q27" s="610">
        <v>4156</v>
      </c>
      <c r="R27" s="610"/>
      <c r="T27" s="610">
        <v>4156</v>
      </c>
      <c r="U27" s="610"/>
      <c r="W27" s="610">
        <v>4156</v>
      </c>
      <c r="X27" s="610"/>
    </row>
    <row r="28" spans="2:24" ht="14.25" customHeight="1">
      <c r="B28" s="609"/>
      <c r="C28" s="609"/>
    </row>
    <row r="29" spans="2:24" ht="14.25" customHeight="1">
      <c r="B29" s="609" t="s">
        <v>711</v>
      </c>
      <c r="C29" s="609"/>
      <c r="E29" s="574">
        <v>11558</v>
      </c>
      <c r="G29" s="574">
        <v>11549</v>
      </c>
      <c r="I29" s="574">
        <v>11558</v>
      </c>
    </row>
    <row r="30" spans="2:24" ht="14.25" customHeight="1">
      <c r="B30" s="609"/>
      <c r="C30" s="609"/>
    </row>
    <row r="31" spans="2:24" ht="14.25" customHeight="1">
      <c r="B31" s="609" t="s">
        <v>712</v>
      </c>
      <c r="C31" s="609"/>
      <c r="E31" s="574">
        <v>273211</v>
      </c>
      <c r="G31" s="574">
        <v>273211</v>
      </c>
      <c r="I31" s="574">
        <v>273211</v>
      </c>
    </row>
    <row r="32" spans="2:24" ht="14.25" customHeight="1">
      <c r="B32" s="609"/>
      <c r="C32" s="609"/>
    </row>
    <row r="33" spans="2:24" ht="14.25" customHeight="1">
      <c r="B33" s="609" t="s">
        <v>713</v>
      </c>
      <c r="C33" s="609"/>
      <c r="E33" s="574">
        <v>1866033</v>
      </c>
      <c r="G33" s="574">
        <v>1827751</v>
      </c>
      <c r="I33" s="574">
        <v>1827751</v>
      </c>
      <c r="Q33" s="610">
        <v>38282</v>
      </c>
      <c r="R33" s="610"/>
      <c r="T33" s="610">
        <v>38282</v>
      </c>
      <c r="U33" s="610"/>
      <c r="W33" s="610">
        <v>38282</v>
      </c>
      <c r="X33" s="610"/>
    </row>
    <row r="34" spans="2:24" ht="14.25" customHeight="1">
      <c r="B34" s="609"/>
      <c r="C34" s="609"/>
    </row>
    <row r="35" spans="2:24" ht="14.25" customHeight="1">
      <c r="B35" s="609" t="s">
        <v>714</v>
      </c>
      <c r="C35" s="609"/>
      <c r="E35" s="574">
        <v>225671</v>
      </c>
      <c r="G35" s="574">
        <v>220587</v>
      </c>
      <c r="I35" s="574">
        <v>220638</v>
      </c>
      <c r="Q35" s="610">
        <v>5033</v>
      </c>
      <c r="R35" s="610"/>
      <c r="T35" s="610">
        <v>5033</v>
      </c>
      <c r="U35" s="610"/>
      <c r="W35" s="610">
        <v>5033</v>
      </c>
      <c r="X35" s="610"/>
    </row>
    <row r="36" spans="2:24" ht="14.25" customHeight="1">
      <c r="B36" s="609"/>
      <c r="C36" s="609"/>
    </row>
    <row r="37" spans="2:24" ht="14.25" customHeight="1">
      <c r="B37" s="609" t="s">
        <v>715</v>
      </c>
      <c r="C37" s="609"/>
      <c r="E37" s="574">
        <v>26200</v>
      </c>
      <c r="G37" s="574">
        <v>26200</v>
      </c>
      <c r="I37" s="574">
        <v>26200</v>
      </c>
    </row>
    <row r="38" spans="2:24" ht="14.25" customHeight="1">
      <c r="B38" s="609"/>
      <c r="C38" s="609"/>
    </row>
    <row r="39" spans="2:24" ht="14.25" customHeight="1">
      <c r="B39" s="609" t="s">
        <v>716</v>
      </c>
      <c r="C39" s="609"/>
      <c r="E39" s="574">
        <v>58975</v>
      </c>
      <c r="G39" s="574">
        <v>58975</v>
      </c>
      <c r="I39" s="574">
        <v>58975</v>
      </c>
    </row>
    <row r="40" spans="2:24" ht="14.25" customHeight="1">
      <c r="B40" s="609"/>
      <c r="C40" s="609"/>
    </row>
    <row r="41" spans="2:24" ht="14.25" customHeight="1">
      <c r="B41" s="609" t="s">
        <v>717</v>
      </c>
      <c r="C41" s="609"/>
      <c r="E41" s="574">
        <v>296612</v>
      </c>
      <c r="G41" s="574">
        <v>296612</v>
      </c>
      <c r="I41" s="574">
        <v>296612</v>
      </c>
    </row>
    <row r="42" spans="2:24" ht="14.25" customHeight="1">
      <c r="B42" s="609"/>
      <c r="C42" s="609"/>
    </row>
    <row r="43" spans="2:24" ht="14.25" customHeight="1">
      <c r="B43" s="609" t="s">
        <v>718</v>
      </c>
      <c r="C43" s="609"/>
      <c r="E43" s="574">
        <v>115609</v>
      </c>
      <c r="G43" s="574">
        <v>115609</v>
      </c>
      <c r="I43" s="574">
        <v>115609</v>
      </c>
    </row>
    <row r="44" spans="2:24" ht="14.25" customHeight="1">
      <c r="B44" s="609"/>
      <c r="C44" s="609"/>
    </row>
    <row r="45" spans="2:24" ht="14.25" customHeight="1">
      <c r="B45" s="609" t="s">
        <v>719</v>
      </c>
      <c r="C45" s="609"/>
      <c r="E45" s="574">
        <v>28700</v>
      </c>
      <c r="G45" s="574">
        <v>28700</v>
      </c>
      <c r="I45" s="574">
        <v>28700</v>
      </c>
    </row>
    <row r="46" spans="2:24" ht="14.25" customHeight="1">
      <c r="B46" s="609"/>
      <c r="C46" s="609"/>
    </row>
    <row r="47" spans="2:24" ht="14.25" customHeight="1">
      <c r="B47" s="609" t="s">
        <v>720</v>
      </c>
      <c r="C47" s="609"/>
      <c r="E47" s="574">
        <v>101577</v>
      </c>
      <c r="G47" s="574">
        <v>82676</v>
      </c>
      <c r="I47" s="574">
        <v>84130</v>
      </c>
      <c r="Q47" s="610">
        <v>17447</v>
      </c>
      <c r="R47" s="610"/>
      <c r="T47" s="610">
        <v>17447</v>
      </c>
      <c r="U47" s="610"/>
      <c r="W47" s="610">
        <v>17447</v>
      </c>
      <c r="X47" s="610"/>
    </row>
    <row r="48" spans="2:24" ht="14.25" customHeight="1">
      <c r="B48" s="609"/>
      <c r="C48" s="609"/>
    </row>
    <row r="49" spans="2:24" ht="14.25" customHeight="1">
      <c r="B49" s="609" t="s">
        <v>721</v>
      </c>
      <c r="C49" s="609"/>
      <c r="E49" s="574">
        <v>62057</v>
      </c>
      <c r="G49" s="574">
        <v>57415</v>
      </c>
      <c r="I49" s="574">
        <v>58475</v>
      </c>
      <c r="Q49" s="610">
        <v>3582</v>
      </c>
      <c r="R49" s="610"/>
      <c r="T49" s="610">
        <v>3582</v>
      </c>
      <c r="U49" s="610"/>
      <c r="W49" s="610">
        <v>3582</v>
      </c>
      <c r="X49" s="610"/>
    </row>
    <row r="50" spans="2:24" ht="14.25" customHeight="1">
      <c r="B50" s="609"/>
      <c r="C50" s="609"/>
    </row>
    <row r="51" spans="2:24" ht="14.25" customHeight="1">
      <c r="B51" s="609" t="s">
        <v>722</v>
      </c>
      <c r="C51" s="609"/>
      <c r="E51" s="574">
        <v>58247</v>
      </c>
      <c r="G51" s="574">
        <v>36712</v>
      </c>
      <c r="I51" s="574">
        <v>37433</v>
      </c>
      <c r="Q51" s="610">
        <v>20814</v>
      </c>
      <c r="R51" s="610"/>
      <c r="T51" s="610">
        <v>20814</v>
      </c>
      <c r="U51" s="610"/>
      <c r="W51" s="610">
        <v>20814</v>
      </c>
      <c r="X51" s="610"/>
    </row>
    <row r="52" spans="2:24" ht="14.25" customHeight="1">
      <c r="B52" s="609"/>
      <c r="C52" s="609"/>
    </row>
    <row r="53" spans="2:24" ht="14.25" customHeight="1">
      <c r="B53" s="609" t="s">
        <v>723</v>
      </c>
      <c r="C53" s="609"/>
      <c r="E53" s="574">
        <v>40547</v>
      </c>
      <c r="G53" s="574">
        <v>26900</v>
      </c>
      <c r="I53" s="574">
        <v>27405</v>
      </c>
      <c r="Q53" s="610">
        <v>13142</v>
      </c>
      <c r="R53" s="610"/>
      <c r="T53" s="610">
        <v>13142</v>
      </c>
      <c r="U53" s="610"/>
      <c r="W53" s="610">
        <v>13142</v>
      </c>
      <c r="X53" s="610"/>
    </row>
    <row r="54" spans="2:24" ht="14.25" customHeight="1">
      <c r="B54" s="609"/>
      <c r="C54" s="609"/>
    </row>
    <row r="55" spans="2:24" ht="14.25" customHeight="1">
      <c r="B55" s="609" t="s">
        <v>724</v>
      </c>
      <c r="C55" s="609"/>
      <c r="E55" s="574">
        <v>74647</v>
      </c>
      <c r="G55" s="574">
        <v>51407</v>
      </c>
      <c r="I55" s="574">
        <v>52309</v>
      </c>
      <c r="Q55" s="610">
        <v>22338</v>
      </c>
      <c r="R55" s="610"/>
      <c r="T55" s="610">
        <v>22338</v>
      </c>
      <c r="U55" s="610"/>
      <c r="W55" s="610">
        <v>22338</v>
      </c>
      <c r="X55" s="610"/>
    </row>
    <row r="56" spans="2:24" ht="14.25" customHeight="1">
      <c r="B56" s="609"/>
      <c r="C56" s="609"/>
    </row>
    <row r="57" spans="2:24" ht="14.25" customHeight="1">
      <c r="B57" s="609" t="s">
        <v>725</v>
      </c>
      <c r="C57" s="609"/>
      <c r="E57" s="574">
        <v>557005</v>
      </c>
      <c r="G57" s="574">
        <v>347243</v>
      </c>
      <c r="I57" s="574">
        <v>419625</v>
      </c>
      <c r="Q57" s="610">
        <v>137380</v>
      </c>
      <c r="R57" s="610"/>
      <c r="T57" s="610">
        <v>137380</v>
      </c>
      <c r="U57" s="610"/>
      <c r="W57" s="610">
        <v>137380</v>
      </c>
      <c r="X57" s="610"/>
    </row>
    <row r="58" spans="2:24" ht="14.25" customHeight="1">
      <c r="B58" s="609"/>
      <c r="C58" s="609"/>
    </row>
    <row r="59" spans="2:24" ht="14.25" customHeight="1">
      <c r="B59" s="609" t="s">
        <v>726</v>
      </c>
      <c r="C59" s="609"/>
      <c r="E59" s="574">
        <v>104000</v>
      </c>
      <c r="G59" s="574">
        <v>104000</v>
      </c>
      <c r="I59" s="574">
        <v>104000</v>
      </c>
    </row>
    <row r="60" spans="2:24" ht="14.25" customHeight="1">
      <c r="B60" s="609"/>
      <c r="C60" s="609"/>
    </row>
    <row r="61" spans="2:24" ht="14.25" customHeight="1">
      <c r="B61" s="609" t="s">
        <v>727</v>
      </c>
      <c r="C61" s="609"/>
      <c r="E61" s="574">
        <v>19102295</v>
      </c>
      <c r="G61" s="574">
        <v>18985191</v>
      </c>
      <c r="I61" s="574">
        <v>19076145</v>
      </c>
      <c r="Q61" s="610">
        <v>26150</v>
      </c>
      <c r="R61" s="610"/>
      <c r="T61" s="610">
        <v>26150</v>
      </c>
      <c r="U61" s="610"/>
      <c r="W61" s="610">
        <v>26150</v>
      </c>
      <c r="X61" s="610"/>
    </row>
    <row r="62" spans="2:24" ht="14.25" customHeight="1">
      <c r="B62" s="609"/>
      <c r="C62" s="609"/>
    </row>
    <row r="63" spans="2:24" ht="14.25" customHeight="1">
      <c r="B63" s="609" t="s">
        <v>728</v>
      </c>
      <c r="C63" s="609"/>
      <c r="E63" s="574">
        <v>96185</v>
      </c>
      <c r="G63" s="574">
        <v>28858</v>
      </c>
      <c r="I63" s="574">
        <v>68681</v>
      </c>
      <c r="Q63" s="610">
        <v>27504</v>
      </c>
      <c r="R63" s="610"/>
      <c r="T63" s="610">
        <v>27504</v>
      </c>
      <c r="U63" s="610"/>
      <c r="W63" s="610">
        <v>27504</v>
      </c>
      <c r="X63" s="610"/>
    </row>
    <row r="64" spans="2:24" ht="14.25" customHeight="1">
      <c r="B64" s="609"/>
      <c r="C64" s="609"/>
    </row>
    <row r="65" spans="2:24" ht="14.25" customHeight="1">
      <c r="B65" s="609" t="s">
        <v>729</v>
      </c>
      <c r="C65" s="609"/>
      <c r="E65" s="574">
        <v>67885</v>
      </c>
      <c r="G65" s="574">
        <v>23776</v>
      </c>
      <c r="I65" s="574">
        <v>24122</v>
      </c>
      <c r="Q65" s="610">
        <v>43763</v>
      </c>
      <c r="R65" s="610"/>
      <c r="T65" s="610">
        <v>43763</v>
      </c>
      <c r="U65" s="610"/>
      <c r="W65" s="610">
        <v>43763</v>
      </c>
      <c r="X65" s="610"/>
    </row>
    <row r="66" spans="2:24" ht="14.25" customHeight="1">
      <c r="B66" s="609"/>
      <c r="C66" s="609"/>
    </row>
    <row r="67" spans="2:24" ht="14.25" customHeight="1">
      <c r="B67" s="609" t="s">
        <v>730</v>
      </c>
      <c r="C67" s="609"/>
      <c r="E67" s="574">
        <v>643470</v>
      </c>
      <c r="G67" s="574">
        <v>184589</v>
      </c>
      <c r="I67" s="574">
        <v>542905</v>
      </c>
      <c r="Q67" s="610">
        <v>100565</v>
      </c>
      <c r="R67" s="610"/>
      <c r="T67" s="610">
        <v>100565</v>
      </c>
      <c r="U67" s="610"/>
      <c r="W67" s="610">
        <v>100565</v>
      </c>
      <c r="X67" s="610"/>
    </row>
    <row r="68" spans="2:24" ht="14.25" customHeight="1">
      <c r="B68" s="609"/>
      <c r="C68" s="609"/>
    </row>
    <row r="69" spans="2:24" ht="14.25" customHeight="1">
      <c r="B69" s="609" t="s">
        <v>731</v>
      </c>
      <c r="C69" s="609"/>
      <c r="E69" s="574">
        <v>222570</v>
      </c>
      <c r="G69" s="574">
        <v>71413</v>
      </c>
      <c r="I69" s="574">
        <v>195370</v>
      </c>
      <c r="Q69" s="610">
        <v>27200</v>
      </c>
      <c r="R69" s="610"/>
      <c r="T69" s="610">
        <v>27200</v>
      </c>
      <c r="U69" s="610"/>
      <c r="W69" s="610">
        <v>27200</v>
      </c>
      <c r="X69" s="610"/>
    </row>
    <row r="70" spans="2:24" ht="14.25" customHeight="1">
      <c r="B70" s="609"/>
      <c r="C70" s="609"/>
    </row>
    <row r="71" spans="2:24" ht="14.25" customHeight="1">
      <c r="B71" s="609" t="s">
        <v>732</v>
      </c>
      <c r="C71" s="609"/>
      <c r="E71" s="574">
        <v>63785969</v>
      </c>
      <c r="G71" s="574">
        <v>63785652</v>
      </c>
      <c r="I71" s="574">
        <v>63785969</v>
      </c>
    </row>
    <row r="72" spans="2:24" ht="14.25" customHeight="1">
      <c r="B72" s="609"/>
      <c r="C72" s="609"/>
    </row>
    <row r="73" spans="2:24" ht="14.25" customHeight="1">
      <c r="B73" s="609" t="s">
        <v>733</v>
      </c>
      <c r="C73" s="609"/>
      <c r="E73" s="574">
        <v>3268777</v>
      </c>
      <c r="G73" s="574">
        <v>3268777</v>
      </c>
      <c r="I73" s="574">
        <v>3268777</v>
      </c>
    </row>
    <row r="74" spans="2:24" ht="14.25" customHeight="1">
      <c r="B74" s="609"/>
      <c r="C74" s="609"/>
    </row>
    <row r="75" spans="2:24" ht="14.25" customHeight="1">
      <c r="B75" s="609" t="s">
        <v>734</v>
      </c>
      <c r="C75" s="609"/>
      <c r="E75" s="574">
        <v>667925</v>
      </c>
      <c r="G75" s="574">
        <v>667925</v>
      </c>
      <c r="I75" s="574">
        <v>667925</v>
      </c>
    </row>
    <row r="76" spans="2:24" ht="14.25" customHeight="1">
      <c r="B76" s="609"/>
      <c r="C76" s="609"/>
    </row>
    <row r="77" spans="2:24" ht="14.25" customHeight="1">
      <c r="B77" s="609"/>
      <c r="C77" s="609"/>
    </row>
    <row r="78" spans="2:24" ht="14.25" customHeight="1">
      <c r="B78" s="609" t="s">
        <v>735</v>
      </c>
      <c r="C78" s="609"/>
      <c r="E78" s="574">
        <v>7905</v>
      </c>
      <c r="G78" s="574">
        <v>7905</v>
      </c>
      <c r="I78" s="574">
        <v>7905</v>
      </c>
    </row>
    <row r="79" spans="2:24" ht="14.25" customHeight="1">
      <c r="B79" s="609"/>
      <c r="C79" s="609"/>
    </row>
    <row r="80" spans="2:24" ht="14.25" customHeight="1">
      <c r="B80" s="609" t="s">
        <v>736</v>
      </c>
      <c r="C80" s="609"/>
      <c r="E80" s="574">
        <v>24496</v>
      </c>
      <c r="G80" s="574">
        <v>24496</v>
      </c>
      <c r="I80" s="574">
        <v>24496</v>
      </c>
    </row>
    <row r="81" spans="2:27" ht="14.25" customHeight="1">
      <c r="B81" s="609"/>
      <c r="C81" s="609"/>
    </row>
    <row r="82" spans="2:27" ht="14.25" customHeight="1">
      <c r="B82" s="609" t="s">
        <v>737</v>
      </c>
      <c r="C82" s="609"/>
      <c r="E82" s="574">
        <v>14544</v>
      </c>
      <c r="G82" s="574">
        <v>14544</v>
      </c>
      <c r="I82" s="574">
        <v>14544</v>
      </c>
    </row>
    <row r="83" spans="2:27" ht="14.25" customHeight="1">
      <c r="B83" s="609"/>
      <c r="C83" s="609"/>
    </row>
    <row r="84" spans="2:27" s="589" customFormat="1" ht="14.25" customHeight="1">
      <c r="B84" s="615" t="s">
        <v>738</v>
      </c>
      <c r="C84" s="615"/>
      <c r="E84" s="590">
        <v>63</v>
      </c>
      <c r="G84" s="590">
        <v>63</v>
      </c>
      <c r="I84" s="590">
        <v>63</v>
      </c>
      <c r="Y84" s="591"/>
      <c r="Z84" s="591"/>
      <c r="AA84" s="591"/>
    </row>
    <row r="85" spans="2:27" s="589" customFormat="1" ht="14.25" customHeight="1">
      <c r="B85" s="615"/>
      <c r="C85" s="615"/>
      <c r="Y85" s="591"/>
      <c r="Z85" s="591"/>
      <c r="AA85" s="591"/>
    </row>
    <row r="86" spans="2:27" ht="14.25" customHeight="1">
      <c r="B86" s="609" t="s">
        <v>739</v>
      </c>
      <c r="C86" s="609"/>
      <c r="E86" s="574">
        <v>39000</v>
      </c>
      <c r="G86" s="574">
        <v>20864</v>
      </c>
      <c r="I86" s="574">
        <v>20864</v>
      </c>
      <c r="Q86" s="610">
        <v>18136</v>
      </c>
      <c r="R86" s="610"/>
      <c r="T86" s="610">
        <v>18136</v>
      </c>
      <c r="U86" s="610"/>
      <c r="W86" s="610">
        <v>18136</v>
      </c>
      <c r="X86" s="610"/>
    </row>
    <row r="87" spans="2:27" ht="14.25" customHeight="1">
      <c r="B87" s="609"/>
      <c r="C87" s="609"/>
    </row>
    <row r="88" spans="2:27" ht="14.25" customHeight="1">
      <c r="B88" s="609"/>
      <c r="C88" s="609"/>
    </row>
    <row r="89" spans="2:27" s="579" customFormat="1" ht="14.25" customHeight="1">
      <c r="B89" s="616" t="s">
        <v>740</v>
      </c>
      <c r="C89" s="616"/>
      <c r="E89" s="580">
        <v>2560839</v>
      </c>
      <c r="G89" s="580">
        <v>1492016</v>
      </c>
      <c r="I89" s="580">
        <v>1492016</v>
      </c>
      <c r="Q89" s="617">
        <v>1068823</v>
      </c>
      <c r="R89" s="617"/>
      <c r="T89" s="617">
        <v>1068823</v>
      </c>
      <c r="U89" s="617"/>
      <c r="W89" s="617">
        <v>1068823</v>
      </c>
      <c r="X89" s="617"/>
      <c r="Y89" s="583">
        <f>Q89</f>
        <v>1068823</v>
      </c>
      <c r="Z89" s="582"/>
      <c r="AA89" s="582"/>
    </row>
    <row r="90" spans="2:27" s="579" customFormat="1" ht="14.25" customHeight="1">
      <c r="B90" s="616"/>
      <c r="C90" s="616"/>
      <c r="Y90" s="582"/>
      <c r="Z90" s="582"/>
      <c r="AA90" s="582"/>
    </row>
    <row r="91" spans="2:27" s="577" customFormat="1" ht="14.25" customHeight="1">
      <c r="B91" s="613" t="s">
        <v>741</v>
      </c>
      <c r="C91" s="613"/>
      <c r="E91" s="578">
        <v>652129</v>
      </c>
      <c r="G91" s="578">
        <v>43964</v>
      </c>
      <c r="I91" s="578">
        <v>43964</v>
      </c>
      <c r="Q91" s="614">
        <v>608165</v>
      </c>
      <c r="R91" s="614"/>
      <c r="T91" s="614">
        <v>608165</v>
      </c>
      <c r="U91" s="614"/>
      <c r="W91" s="614">
        <v>608165</v>
      </c>
      <c r="X91" s="614"/>
      <c r="Y91" s="587"/>
      <c r="Z91" s="587"/>
      <c r="AA91" s="587"/>
    </row>
    <row r="92" spans="2:27" s="577" customFormat="1" ht="14.25" customHeight="1">
      <c r="B92" s="613"/>
      <c r="C92" s="613"/>
      <c r="Y92" s="587"/>
      <c r="Z92" s="587"/>
      <c r="AA92" s="587"/>
    </row>
    <row r="93" spans="2:27" s="577" customFormat="1" ht="14.25" customHeight="1">
      <c r="B93" s="613" t="s">
        <v>742</v>
      </c>
      <c r="C93" s="613"/>
      <c r="E93" s="578">
        <v>800000</v>
      </c>
      <c r="Q93" s="614">
        <v>800000</v>
      </c>
      <c r="R93" s="614"/>
      <c r="T93" s="614">
        <v>800000</v>
      </c>
      <c r="U93" s="614"/>
      <c r="W93" s="614">
        <v>800000</v>
      </c>
      <c r="X93" s="614"/>
      <c r="Y93" s="587"/>
      <c r="Z93" s="587"/>
      <c r="AA93" s="587"/>
    </row>
    <row r="94" spans="2:27" s="577" customFormat="1" ht="14.25" customHeight="1">
      <c r="B94" s="613"/>
      <c r="C94" s="613"/>
      <c r="Y94" s="587"/>
      <c r="Z94" s="587"/>
      <c r="AA94" s="587"/>
    </row>
    <row r="95" spans="2:27" s="577" customFormat="1" ht="14.25" customHeight="1">
      <c r="B95" s="613" t="s">
        <v>743</v>
      </c>
      <c r="C95" s="613"/>
      <c r="E95" s="578">
        <v>60000</v>
      </c>
      <c r="G95" s="578">
        <v>60000</v>
      </c>
      <c r="I95" s="578">
        <v>60000</v>
      </c>
      <c r="Y95" s="587"/>
      <c r="Z95" s="587"/>
      <c r="AA95" s="587"/>
    </row>
    <row r="96" spans="2:27" s="577" customFormat="1" ht="14.25" customHeight="1">
      <c r="B96" s="613"/>
      <c r="C96" s="613"/>
      <c r="Y96" s="587"/>
      <c r="Z96" s="587"/>
      <c r="AA96" s="587"/>
    </row>
    <row r="97" spans="2:27" s="577" customFormat="1" ht="14.25" customHeight="1">
      <c r="B97" s="613" t="s">
        <v>744</v>
      </c>
      <c r="C97" s="613"/>
      <c r="E97" s="578">
        <v>167639</v>
      </c>
      <c r="G97" s="578">
        <v>20000</v>
      </c>
      <c r="I97" s="578">
        <v>20000</v>
      </c>
      <c r="Q97" s="614">
        <v>147639</v>
      </c>
      <c r="R97" s="614"/>
      <c r="T97" s="614">
        <v>147639</v>
      </c>
      <c r="U97" s="614"/>
      <c r="W97" s="614">
        <v>147639</v>
      </c>
      <c r="X97" s="614"/>
      <c r="Y97" s="587"/>
      <c r="Z97" s="587"/>
      <c r="AA97" s="587"/>
    </row>
    <row r="98" spans="2:27" s="577" customFormat="1" ht="14.25" customHeight="1">
      <c r="B98" s="613"/>
      <c r="C98" s="613"/>
      <c r="Y98" s="587"/>
      <c r="Z98" s="587"/>
      <c r="AA98" s="587"/>
    </row>
    <row r="99" spans="2:27" s="577" customFormat="1" ht="14.25" customHeight="1">
      <c r="B99" s="613" t="s">
        <v>745</v>
      </c>
      <c r="C99" s="613"/>
      <c r="E99" s="578">
        <v>300000</v>
      </c>
      <c r="Q99" s="614">
        <v>300000</v>
      </c>
      <c r="R99" s="614"/>
      <c r="T99" s="614">
        <v>300000</v>
      </c>
      <c r="U99" s="614"/>
      <c r="W99" s="614">
        <v>300000</v>
      </c>
      <c r="X99" s="614"/>
      <c r="Y99" s="587"/>
      <c r="Z99" s="587"/>
      <c r="AA99" s="587"/>
    </row>
    <row r="100" spans="2:27" s="577" customFormat="1" ht="14.25" customHeight="1">
      <c r="B100" s="613"/>
      <c r="C100" s="613"/>
      <c r="Y100" s="587"/>
      <c r="Z100" s="587"/>
      <c r="AA100" s="587"/>
    </row>
    <row r="101" spans="2:27" s="577" customFormat="1" ht="14.25" customHeight="1">
      <c r="B101" s="613"/>
      <c r="C101" s="613"/>
      <c r="Y101" s="587"/>
      <c r="Z101" s="587"/>
      <c r="AA101" s="587"/>
    </row>
    <row r="102" spans="2:27" s="577" customFormat="1" ht="14.25" customHeight="1">
      <c r="B102" s="613" t="s">
        <v>746</v>
      </c>
      <c r="C102" s="613"/>
      <c r="E102" s="578">
        <v>111209</v>
      </c>
      <c r="G102" s="578">
        <v>20000</v>
      </c>
      <c r="I102" s="578">
        <v>20000</v>
      </c>
      <c r="Q102" s="614">
        <v>91209</v>
      </c>
      <c r="R102" s="614"/>
      <c r="T102" s="614">
        <v>91209</v>
      </c>
      <c r="U102" s="614"/>
      <c r="W102" s="614">
        <v>91209</v>
      </c>
      <c r="X102" s="614"/>
      <c r="Y102" s="587"/>
      <c r="Z102" s="587"/>
      <c r="AA102" s="587"/>
    </row>
    <row r="103" spans="2:27" s="577" customFormat="1" ht="14.25" customHeight="1">
      <c r="B103" s="613"/>
      <c r="C103" s="613"/>
      <c r="Y103" s="587"/>
      <c r="Z103" s="587"/>
      <c r="AA103" s="587"/>
    </row>
    <row r="104" spans="2:27" s="577" customFormat="1" ht="14.25" customHeight="1">
      <c r="B104" s="613" t="s">
        <v>747</v>
      </c>
      <c r="C104" s="613"/>
      <c r="E104" s="578">
        <v>800000</v>
      </c>
      <c r="Q104" s="614">
        <v>800000</v>
      </c>
      <c r="R104" s="614"/>
      <c r="T104" s="614">
        <v>800000</v>
      </c>
      <c r="U104" s="614"/>
      <c r="W104" s="614">
        <v>800000</v>
      </c>
      <c r="X104" s="614"/>
      <c r="Y104" s="588">
        <f>Q93+Q99+Q104</f>
        <v>1900000</v>
      </c>
      <c r="Z104" s="587"/>
      <c r="AA104" s="587"/>
    </row>
    <row r="105" spans="2:27" s="577" customFormat="1" ht="14.25" customHeight="1">
      <c r="B105" s="613"/>
      <c r="C105" s="613"/>
      <c r="Y105" s="587"/>
      <c r="Z105" s="587"/>
      <c r="AA105" s="587"/>
    </row>
    <row r="106" spans="2:27" s="577" customFormat="1" ht="14.25" customHeight="1">
      <c r="B106" s="613"/>
      <c r="C106" s="613"/>
      <c r="Y106" s="587"/>
      <c r="Z106" s="587"/>
      <c r="AA106" s="587"/>
    </row>
    <row r="107" spans="2:27" s="577" customFormat="1" ht="14.25" customHeight="1">
      <c r="B107" s="613" t="s">
        <v>748</v>
      </c>
      <c r="C107" s="613"/>
      <c r="E107" s="578">
        <v>47500</v>
      </c>
      <c r="G107" s="578">
        <v>21500</v>
      </c>
      <c r="I107" s="578">
        <v>21500</v>
      </c>
      <c r="Q107" s="614">
        <v>26000</v>
      </c>
      <c r="R107" s="614"/>
      <c r="T107" s="614">
        <v>26000</v>
      </c>
      <c r="U107" s="614"/>
      <c r="W107" s="614">
        <v>26000</v>
      </c>
      <c r="X107" s="614"/>
      <c r="Y107" s="587"/>
      <c r="Z107" s="587"/>
      <c r="AA107" s="587"/>
    </row>
    <row r="108" spans="2:27" s="577" customFormat="1" ht="14.25" customHeight="1">
      <c r="B108" s="613"/>
      <c r="C108" s="613"/>
      <c r="Y108" s="587"/>
      <c r="Z108" s="587"/>
      <c r="AA108" s="587"/>
    </row>
    <row r="109" spans="2:27" s="577" customFormat="1" ht="14.25" customHeight="1">
      <c r="B109" s="613"/>
      <c r="C109" s="613"/>
      <c r="Y109" s="587"/>
      <c r="Z109" s="587"/>
      <c r="AA109" s="587"/>
    </row>
    <row r="110" spans="2:27" s="577" customFormat="1" ht="14.25" customHeight="1">
      <c r="B110" s="613" t="s">
        <v>749</v>
      </c>
      <c r="C110" s="613"/>
      <c r="E110" s="578">
        <v>106134</v>
      </c>
      <c r="G110" s="578">
        <v>4100</v>
      </c>
      <c r="I110" s="578">
        <v>4100</v>
      </c>
      <c r="Q110" s="614">
        <v>102034</v>
      </c>
      <c r="R110" s="614"/>
      <c r="T110" s="614">
        <v>102034</v>
      </c>
      <c r="U110" s="614"/>
      <c r="W110" s="614">
        <v>102034</v>
      </c>
      <c r="X110" s="614"/>
      <c r="Y110" s="587"/>
      <c r="Z110" s="587"/>
      <c r="AA110" s="587"/>
    </row>
    <row r="111" spans="2:27" s="577" customFormat="1" ht="14.25" customHeight="1">
      <c r="B111" s="613"/>
      <c r="C111" s="613"/>
      <c r="Y111" s="587"/>
      <c r="Z111" s="587"/>
      <c r="AA111" s="587"/>
    </row>
    <row r="112" spans="2:27" s="577" customFormat="1" ht="14.25" customHeight="1">
      <c r="B112" s="613" t="s">
        <v>750</v>
      </c>
      <c r="C112" s="613"/>
      <c r="E112" s="578">
        <v>18800</v>
      </c>
      <c r="Q112" s="614">
        <v>18800</v>
      </c>
      <c r="R112" s="614"/>
      <c r="T112" s="614">
        <v>18800</v>
      </c>
      <c r="U112" s="614"/>
      <c r="W112" s="614">
        <v>18800</v>
      </c>
      <c r="X112" s="614"/>
      <c r="Y112" s="587"/>
      <c r="Z112" s="587"/>
      <c r="AA112" s="587"/>
    </row>
    <row r="113" spans="2:27" s="577" customFormat="1" ht="14.25" customHeight="1">
      <c r="B113" s="613"/>
      <c r="C113" s="613"/>
      <c r="Y113" s="587"/>
      <c r="Z113" s="587"/>
      <c r="AA113" s="587"/>
    </row>
    <row r="114" spans="2:27" s="577" customFormat="1" ht="14.25" customHeight="1">
      <c r="B114" s="613" t="s">
        <v>751</v>
      </c>
      <c r="C114" s="613"/>
      <c r="E114" s="578">
        <v>200000</v>
      </c>
      <c r="G114" s="578">
        <v>200000</v>
      </c>
      <c r="I114" s="578">
        <v>200000</v>
      </c>
      <c r="Y114" s="587"/>
      <c r="Z114" s="587"/>
      <c r="AA114" s="587"/>
    </row>
    <row r="115" spans="2:27" s="577" customFormat="1" ht="14.25" customHeight="1">
      <c r="B115" s="613"/>
      <c r="C115" s="613"/>
      <c r="Y115" s="588">
        <f>SUM(Q91:Q115)-Y104</f>
        <v>993847</v>
      </c>
      <c r="Z115" s="587"/>
      <c r="AA115" s="587"/>
    </row>
    <row r="116" spans="2:27" s="589" customFormat="1" ht="14.25" customHeight="1">
      <c r="B116" s="615" t="s">
        <v>752</v>
      </c>
      <c r="C116" s="615"/>
      <c r="E116" s="590">
        <v>540993</v>
      </c>
      <c r="G116" s="590">
        <v>540993</v>
      </c>
      <c r="I116" s="590">
        <v>540993</v>
      </c>
      <c r="Y116" s="592"/>
      <c r="Z116" s="592"/>
      <c r="AA116" s="592"/>
    </row>
    <row r="117" spans="2:27" s="589" customFormat="1" ht="14.25" customHeight="1">
      <c r="B117" s="615"/>
      <c r="C117" s="615"/>
      <c r="Y117" s="591">
        <f>X84+X116</f>
        <v>0</v>
      </c>
      <c r="Z117" s="591"/>
      <c r="AA117" s="591"/>
    </row>
    <row r="118" spans="2:27" ht="14.25" customHeight="1">
      <c r="B118" s="609" t="s">
        <v>753</v>
      </c>
      <c r="C118" s="609"/>
      <c r="E118" s="574">
        <v>104922</v>
      </c>
      <c r="G118" s="574">
        <v>104922</v>
      </c>
      <c r="I118" s="574">
        <v>104922</v>
      </c>
    </row>
    <row r="119" spans="2:27" ht="14.25" customHeight="1">
      <c r="B119" s="609"/>
      <c r="C119" s="609"/>
    </row>
    <row r="120" spans="2:27" ht="14.25" customHeight="1">
      <c r="B120" s="609"/>
      <c r="C120" s="609"/>
    </row>
    <row r="121" spans="2:27" ht="14.25" customHeight="1">
      <c r="B121" s="609" t="s">
        <v>754</v>
      </c>
      <c r="C121" s="609"/>
      <c r="E121" s="574">
        <v>373185</v>
      </c>
      <c r="G121" s="574">
        <v>312625</v>
      </c>
      <c r="I121" s="574">
        <v>307765</v>
      </c>
      <c r="M121" s="612">
        <v>5500</v>
      </c>
      <c r="N121" s="612"/>
      <c r="O121" s="612"/>
      <c r="Q121" s="610">
        <v>65420</v>
      </c>
      <c r="R121" s="610"/>
      <c r="T121" s="610">
        <v>65420</v>
      </c>
      <c r="U121" s="610"/>
      <c r="W121" s="610">
        <v>59920</v>
      </c>
      <c r="X121" s="610"/>
    </row>
    <row r="122" spans="2:27" ht="14.25" customHeight="1">
      <c r="B122" s="609"/>
      <c r="C122" s="609"/>
    </row>
    <row r="123" spans="2:27" ht="14.25" customHeight="1">
      <c r="B123" s="609"/>
      <c r="C123" s="609"/>
    </row>
    <row r="124" spans="2:27" ht="14.25" customHeight="1">
      <c r="B124" s="609" t="s">
        <v>755</v>
      </c>
      <c r="C124" s="609"/>
      <c r="E124" s="574">
        <v>678374</v>
      </c>
      <c r="G124" s="574">
        <v>52000</v>
      </c>
      <c r="I124" s="574">
        <v>266119</v>
      </c>
      <c r="Q124" s="610">
        <v>412255</v>
      </c>
      <c r="R124" s="610"/>
      <c r="T124" s="610">
        <v>412255</v>
      </c>
      <c r="U124" s="610"/>
      <c r="W124" s="610">
        <v>412255</v>
      </c>
      <c r="X124" s="610"/>
    </row>
    <row r="125" spans="2:27" ht="14.25" customHeight="1">
      <c r="B125" s="609"/>
      <c r="C125" s="609"/>
    </row>
    <row r="126" spans="2:27" ht="14.25" customHeight="1">
      <c r="B126" s="609"/>
      <c r="C126" s="609"/>
    </row>
    <row r="127" spans="2:27" ht="14.25" customHeight="1">
      <c r="B127" s="609" t="s">
        <v>756</v>
      </c>
      <c r="C127" s="609"/>
      <c r="E127" s="574">
        <v>10000</v>
      </c>
      <c r="G127" s="574">
        <v>9413</v>
      </c>
      <c r="I127" s="574">
        <v>9413</v>
      </c>
      <c r="Q127" s="610">
        <v>587</v>
      </c>
      <c r="R127" s="610"/>
      <c r="T127" s="610">
        <v>587</v>
      </c>
      <c r="U127" s="610"/>
      <c r="W127" s="610">
        <v>587</v>
      </c>
      <c r="X127" s="610"/>
    </row>
    <row r="128" spans="2:27" ht="14.25" customHeight="1">
      <c r="B128" s="609"/>
      <c r="C128" s="609"/>
    </row>
    <row r="129" spans="2:24" ht="14.25" customHeight="1">
      <c r="B129" s="609"/>
      <c r="C129" s="609"/>
    </row>
    <row r="130" spans="2:24" ht="14.25" customHeight="1">
      <c r="B130" s="609" t="s">
        <v>757</v>
      </c>
      <c r="C130" s="609"/>
      <c r="E130" s="574">
        <v>200000</v>
      </c>
      <c r="G130" s="574">
        <v>179102</v>
      </c>
      <c r="I130" s="574">
        <v>179102</v>
      </c>
      <c r="Q130" s="610">
        <v>20898</v>
      </c>
      <c r="R130" s="610"/>
      <c r="T130" s="610">
        <v>20898</v>
      </c>
      <c r="U130" s="610"/>
      <c r="W130" s="610">
        <v>20898</v>
      </c>
      <c r="X130" s="610"/>
    </row>
    <row r="131" spans="2:24" ht="14.25" customHeight="1">
      <c r="B131" s="609"/>
      <c r="C131" s="609"/>
    </row>
    <row r="132" spans="2:24" ht="14.25" customHeight="1">
      <c r="B132" s="609"/>
      <c r="C132" s="609"/>
    </row>
    <row r="133" spans="2:24" ht="14.25" customHeight="1">
      <c r="B133" s="609" t="s">
        <v>758</v>
      </c>
      <c r="C133" s="609"/>
      <c r="E133" s="574">
        <v>10000</v>
      </c>
      <c r="I133" s="574">
        <v>10000</v>
      </c>
    </row>
    <row r="134" spans="2:24" ht="14.25" customHeight="1">
      <c r="B134" s="609"/>
      <c r="C134" s="609"/>
    </row>
    <row r="135" spans="2:24" ht="14.25" customHeight="1">
      <c r="B135" s="609" t="s">
        <v>759</v>
      </c>
      <c r="C135" s="609"/>
      <c r="E135" s="574">
        <v>20000</v>
      </c>
      <c r="G135" s="574">
        <v>20000</v>
      </c>
      <c r="I135" s="574">
        <v>20000</v>
      </c>
    </row>
    <row r="136" spans="2:24" ht="14.25" customHeight="1">
      <c r="B136" s="609"/>
      <c r="C136" s="609"/>
    </row>
    <row r="137" spans="2:24" ht="14.25" customHeight="1">
      <c r="B137" s="609" t="s">
        <v>760</v>
      </c>
      <c r="C137" s="609"/>
      <c r="E137" s="574">
        <v>20000</v>
      </c>
      <c r="Q137" s="610">
        <v>20000</v>
      </c>
      <c r="R137" s="610"/>
      <c r="T137" s="610">
        <v>20000</v>
      </c>
      <c r="U137" s="610"/>
      <c r="W137" s="610">
        <v>20000</v>
      </c>
      <c r="X137" s="610"/>
    </row>
    <row r="138" spans="2:24" ht="14.25" customHeight="1">
      <c r="B138" s="609"/>
      <c r="C138" s="609"/>
    </row>
    <row r="139" spans="2:24" ht="14.25" customHeight="1">
      <c r="B139" s="609" t="s">
        <v>761</v>
      </c>
      <c r="C139" s="609"/>
      <c r="E139" s="574">
        <v>20000</v>
      </c>
      <c r="G139" s="574">
        <v>20000</v>
      </c>
      <c r="I139" s="574">
        <v>20000</v>
      </c>
    </row>
    <row r="140" spans="2:24" ht="14.25" customHeight="1">
      <c r="B140" s="609"/>
      <c r="C140" s="609"/>
    </row>
    <row r="141" spans="2:24" ht="14.25" customHeight="1">
      <c r="B141" s="609"/>
      <c r="C141" s="609"/>
    </row>
    <row r="142" spans="2:24" ht="14.25" customHeight="1">
      <c r="B142" s="609" t="s">
        <v>762</v>
      </c>
      <c r="C142" s="609"/>
      <c r="E142" s="574">
        <v>2982053</v>
      </c>
      <c r="G142" s="574">
        <v>2982053</v>
      </c>
      <c r="I142" s="574">
        <v>2982053</v>
      </c>
    </row>
    <row r="143" spans="2:24" ht="14.25" customHeight="1">
      <c r="B143" s="609"/>
      <c r="C143" s="609"/>
    </row>
    <row r="144" spans="2:24" ht="14.25" customHeight="1">
      <c r="B144" s="609"/>
      <c r="C144" s="609"/>
    </row>
    <row r="145" spans="2:24" ht="14.25" customHeight="1">
      <c r="B145" s="609" t="s">
        <v>763</v>
      </c>
      <c r="C145" s="609"/>
      <c r="E145" s="574">
        <v>130000</v>
      </c>
      <c r="G145" s="574">
        <v>130000</v>
      </c>
      <c r="I145" s="574">
        <v>130000</v>
      </c>
    </row>
    <row r="146" spans="2:24" ht="14.25" customHeight="1">
      <c r="B146" s="609"/>
      <c r="C146" s="609"/>
    </row>
    <row r="147" spans="2:24" ht="14.25" customHeight="1">
      <c r="B147" s="609"/>
      <c r="C147" s="609"/>
    </row>
    <row r="148" spans="2:24" ht="14.25" customHeight="1">
      <c r="B148" s="609" t="s">
        <v>764</v>
      </c>
      <c r="C148" s="609"/>
      <c r="E148" s="574">
        <v>1800000</v>
      </c>
      <c r="Q148" s="610">
        <v>1800000</v>
      </c>
      <c r="R148" s="610"/>
      <c r="T148" s="610">
        <v>1800000</v>
      </c>
      <c r="U148" s="610"/>
      <c r="W148" s="610">
        <v>1800000</v>
      </c>
      <c r="X148" s="610"/>
    </row>
    <row r="149" spans="2:24" ht="14.25" customHeight="1">
      <c r="B149" s="609"/>
      <c r="C149" s="609"/>
    </row>
    <row r="150" spans="2:24" ht="14.25" customHeight="1">
      <c r="B150" s="609"/>
      <c r="C150" s="609"/>
    </row>
    <row r="151" spans="2:24" ht="14.25" customHeight="1">
      <c r="B151" s="609" t="s">
        <v>765</v>
      </c>
      <c r="C151" s="609"/>
      <c r="E151" s="574">
        <v>30000</v>
      </c>
      <c r="G151" s="574">
        <v>30000</v>
      </c>
      <c r="I151" s="574">
        <v>30000</v>
      </c>
    </row>
    <row r="152" spans="2:24" ht="14.25" customHeight="1">
      <c r="B152" s="609"/>
      <c r="C152" s="609"/>
    </row>
    <row r="153" spans="2:24" ht="14.25" customHeight="1">
      <c r="B153" s="609"/>
      <c r="C153" s="609"/>
    </row>
    <row r="154" spans="2:24" ht="14.25" customHeight="1">
      <c r="B154" s="609" t="s">
        <v>766</v>
      </c>
      <c r="C154" s="609"/>
      <c r="E154" s="574">
        <v>10000</v>
      </c>
      <c r="Q154" s="610">
        <v>10000</v>
      </c>
      <c r="R154" s="610"/>
      <c r="T154" s="610">
        <v>10000</v>
      </c>
      <c r="U154" s="610"/>
      <c r="W154" s="610">
        <v>10000</v>
      </c>
      <c r="X154" s="610"/>
    </row>
    <row r="155" spans="2:24" ht="14.25" customHeight="1">
      <c r="B155" s="609"/>
      <c r="C155" s="609"/>
    </row>
    <row r="156" spans="2:24" ht="14.25" customHeight="1">
      <c r="B156" s="609"/>
      <c r="C156" s="609"/>
    </row>
    <row r="157" spans="2:24" ht="14.25" customHeight="1">
      <c r="B157" s="609" t="s">
        <v>767</v>
      </c>
      <c r="C157" s="609"/>
      <c r="E157" s="574">
        <v>10000</v>
      </c>
      <c r="Q157" s="610">
        <v>10000</v>
      </c>
      <c r="R157" s="610"/>
      <c r="T157" s="610">
        <v>10000</v>
      </c>
      <c r="U157" s="610"/>
      <c r="W157" s="610">
        <v>10000</v>
      </c>
      <c r="X157" s="610"/>
    </row>
    <row r="158" spans="2:24" ht="14.25" customHeight="1">
      <c r="B158" s="609"/>
      <c r="C158" s="609"/>
    </row>
    <row r="159" spans="2:24" ht="14.25" customHeight="1">
      <c r="B159" s="609"/>
      <c r="C159" s="609"/>
    </row>
    <row r="160" spans="2:24" ht="14.25" customHeight="1">
      <c r="B160" s="609" t="s">
        <v>768</v>
      </c>
      <c r="C160" s="609"/>
      <c r="E160" s="574">
        <v>10000</v>
      </c>
      <c r="Q160" s="610">
        <v>10000</v>
      </c>
      <c r="R160" s="610"/>
      <c r="T160" s="610">
        <v>10000</v>
      </c>
      <c r="U160" s="610"/>
      <c r="W160" s="610">
        <v>10000</v>
      </c>
      <c r="X160" s="610"/>
    </row>
    <row r="161" spans="2:24" ht="14.25" customHeight="1">
      <c r="B161" s="609"/>
      <c r="C161" s="609"/>
    </row>
    <row r="162" spans="2:24" ht="14.25" customHeight="1">
      <c r="B162" s="609"/>
      <c r="C162" s="609"/>
    </row>
    <row r="163" spans="2:24" ht="14.25" customHeight="1">
      <c r="B163" s="609" t="s">
        <v>769</v>
      </c>
      <c r="C163" s="609"/>
      <c r="E163" s="574">
        <v>20000</v>
      </c>
      <c r="Q163" s="610">
        <v>20000</v>
      </c>
      <c r="R163" s="610"/>
      <c r="T163" s="610">
        <v>20000</v>
      </c>
      <c r="U163" s="610"/>
      <c r="W163" s="610">
        <v>20000</v>
      </c>
      <c r="X163" s="610"/>
    </row>
    <row r="164" spans="2:24" ht="14.25" customHeight="1">
      <c r="B164" s="609"/>
      <c r="C164" s="609"/>
    </row>
    <row r="165" spans="2:24" ht="14.25" customHeight="1">
      <c r="B165" s="609"/>
      <c r="C165" s="609"/>
    </row>
    <row r="166" spans="2:24" ht="14.25" customHeight="1">
      <c r="B166" s="609" t="s">
        <v>770</v>
      </c>
      <c r="C166" s="609"/>
      <c r="E166" s="574">
        <v>20000</v>
      </c>
      <c r="Q166" s="610">
        <v>20000</v>
      </c>
      <c r="R166" s="610"/>
      <c r="T166" s="610">
        <v>20000</v>
      </c>
      <c r="U166" s="610"/>
      <c r="W166" s="610">
        <v>20000</v>
      </c>
      <c r="X166" s="610"/>
    </row>
    <row r="167" spans="2:24" ht="14.25" customHeight="1">
      <c r="B167" s="609"/>
      <c r="C167" s="609"/>
    </row>
    <row r="168" spans="2:24" ht="14.25" customHeight="1">
      <c r="B168" s="609"/>
      <c r="C168" s="609"/>
    </row>
    <row r="169" spans="2:24" ht="14.25" customHeight="1">
      <c r="B169" s="609" t="s">
        <v>771</v>
      </c>
      <c r="C169" s="609"/>
      <c r="E169" s="574">
        <v>136850</v>
      </c>
      <c r="G169" s="574">
        <v>136850</v>
      </c>
      <c r="I169" s="574">
        <v>136850</v>
      </c>
    </row>
    <row r="170" spans="2:24" ht="14.25" customHeight="1">
      <c r="B170" s="609"/>
      <c r="C170" s="609"/>
    </row>
    <row r="171" spans="2:24" ht="14.25" customHeight="1">
      <c r="B171" s="609"/>
      <c r="C171" s="609"/>
    </row>
    <row r="172" spans="2:24" ht="14.25" customHeight="1">
      <c r="B172" s="609" t="s">
        <v>772</v>
      </c>
      <c r="C172" s="609"/>
      <c r="E172" s="574">
        <v>73638</v>
      </c>
      <c r="G172" s="574">
        <v>73638</v>
      </c>
      <c r="I172" s="574">
        <v>73638</v>
      </c>
    </row>
    <row r="173" spans="2:24" ht="14.25" customHeight="1">
      <c r="B173" s="609"/>
      <c r="C173" s="609"/>
    </row>
    <row r="174" spans="2:24" ht="14.25" customHeight="1">
      <c r="B174" s="609"/>
      <c r="C174" s="609"/>
    </row>
    <row r="175" spans="2:24" ht="14.25" customHeight="1">
      <c r="B175" s="609" t="s">
        <v>773</v>
      </c>
      <c r="C175" s="609"/>
      <c r="E175" s="574">
        <v>27000</v>
      </c>
      <c r="G175" s="574">
        <v>27000</v>
      </c>
      <c r="I175" s="574">
        <v>27000</v>
      </c>
    </row>
    <row r="176" spans="2:24" ht="14.25" customHeight="1">
      <c r="B176" s="609"/>
      <c r="C176" s="609"/>
    </row>
    <row r="177" spans="2:24" ht="14.25" customHeight="1">
      <c r="B177" s="609"/>
      <c r="C177" s="609"/>
    </row>
    <row r="178" spans="2:24" ht="14.25" customHeight="1">
      <c r="B178" s="609" t="s">
        <v>774</v>
      </c>
      <c r="C178" s="609"/>
      <c r="E178" s="574">
        <v>1242</v>
      </c>
      <c r="Q178" s="610">
        <v>1242</v>
      </c>
      <c r="R178" s="610"/>
      <c r="T178" s="610">
        <v>1242</v>
      </c>
      <c r="U178" s="610"/>
      <c r="W178" s="610">
        <v>1242</v>
      </c>
      <c r="X178" s="610"/>
    </row>
    <row r="179" spans="2:24" ht="14.25" customHeight="1">
      <c r="B179" s="609"/>
      <c r="C179" s="609"/>
    </row>
    <row r="180" spans="2:24" ht="14.25" customHeight="1">
      <c r="B180" s="609"/>
      <c r="C180" s="609"/>
    </row>
    <row r="181" spans="2:24" ht="14.25" customHeight="1">
      <c r="B181" s="609" t="s">
        <v>775</v>
      </c>
      <c r="C181" s="609"/>
      <c r="E181" s="574">
        <v>15840</v>
      </c>
      <c r="Q181" s="610">
        <v>15840</v>
      </c>
      <c r="R181" s="610"/>
      <c r="T181" s="610">
        <v>15840</v>
      </c>
      <c r="U181" s="610"/>
      <c r="W181" s="610">
        <v>15840</v>
      </c>
      <c r="X181" s="610"/>
    </row>
    <row r="182" spans="2:24" ht="14.25" customHeight="1">
      <c r="B182" s="609"/>
      <c r="C182" s="609"/>
    </row>
    <row r="183" spans="2:24" ht="14.25" customHeight="1">
      <c r="B183" s="609"/>
      <c r="C183" s="609"/>
    </row>
    <row r="184" spans="2:24" ht="14.25" customHeight="1">
      <c r="B184" s="609" t="s">
        <v>776</v>
      </c>
      <c r="C184" s="609"/>
      <c r="E184" s="574">
        <v>77052</v>
      </c>
      <c r="Q184" s="610">
        <v>77052</v>
      </c>
      <c r="R184" s="610"/>
      <c r="T184" s="610">
        <v>77052</v>
      </c>
      <c r="U184" s="610"/>
      <c r="W184" s="610">
        <v>77052</v>
      </c>
      <c r="X184" s="610"/>
    </row>
    <row r="185" spans="2:24" ht="14.25" customHeight="1">
      <c r="B185" s="609"/>
      <c r="C185" s="609"/>
    </row>
    <row r="186" spans="2:24" ht="14.25" customHeight="1">
      <c r="B186" s="609"/>
      <c r="C186" s="609"/>
    </row>
    <row r="187" spans="2:24" ht="14.25" customHeight="1">
      <c r="B187" s="609" t="s">
        <v>777</v>
      </c>
      <c r="C187" s="609"/>
      <c r="E187" s="574">
        <v>7940</v>
      </c>
      <c r="Q187" s="610">
        <v>7940</v>
      </c>
      <c r="R187" s="610"/>
      <c r="T187" s="610">
        <v>7940</v>
      </c>
      <c r="U187" s="610"/>
      <c r="W187" s="610">
        <v>7940</v>
      </c>
      <c r="X187" s="610"/>
    </row>
    <row r="188" spans="2:24" ht="14.25" customHeight="1">
      <c r="B188" s="609"/>
      <c r="C188" s="609"/>
    </row>
    <row r="189" spans="2:24" ht="14.25" customHeight="1">
      <c r="B189" s="609"/>
      <c r="C189" s="609"/>
    </row>
    <row r="190" spans="2:24" ht="14.25" customHeight="1">
      <c r="B190" s="609" t="s">
        <v>778</v>
      </c>
      <c r="C190" s="609"/>
      <c r="E190" s="574">
        <v>78598</v>
      </c>
      <c r="Q190" s="610">
        <v>78598</v>
      </c>
      <c r="R190" s="610"/>
      <c r="T190" s="610">
        <v>78598</v>
      </c>
      <c r="U190" s="610"/>
      <c r="W190" s="610">
        <v>78598</v>
      </c>
      <c r="X190" s="610"/>
    </row>
    <row r="191" spans="2:24" ht="14.25" customHeight="1">
      <c r="B191" s="609"/>
      <c r="C191" s="609"/>
    </row>
    <row r="192" spans="2:24" ht="14.25" customHeight="1">
      <c r="B192" s="609"/>
      <c r="C192" s="609"/>
    </row>
    <row r="193" spans="2:24" ht="14.25" customHeight="1">
      <c r="B193" s="609" t="s">
        <v>779</v>
      </c>
      <c r="C193" s="609"/>
      <c r="E193" s="574">
        <v>1789232</v>
      </c>
      <c r="Q193" s="610">
        <v>1789232</v>
      </c>
      <c r="R193" s="610"/>
      <c r="T193" s="610">
        <v>1789232</v>
      </c>
      <c r="U193" s="610"/>
      <c r="W193" s="610">
        <v>1789232</v>
      </c>
      <c r="X193" s="610"/>
    </row>
    <row r="194" spans="2:24" ht="14.25" customHeight="1">
      <c r="B194" s="609"/>
      <c r="C194" s="609"/>
    </row>
    <row r="195" spans="2:24" ht="14.25" customHeight="1">
      <c r="B195" s="609"/>
      <c r="C195" s="609"/>
    </row>
    <row r="196" spans="2:24" ht="14.25" customHeight="1">
      <c r="B196" s="609" t="s">
        <v>780</v>
      </c>
      <c r="C196" s="609"/>
      <c r="E196" s="574">
        <v>18300</v>
      </c>
      <c r="Q196" s="610">
        <v>18300</v>
      </c>
      <c r="R196" s="610"/>
      <c r="T196" s="610">
        <v>18300</v>
      </c>
      <c r="U196" s="610"/>
      <c r="W196" s="610">
        <v>18300</v>
      </c>
      <c r="X196" s="610"/>
    </row>
    <row r="197" spans="2:24" ht="14.25" customHeight="1">
      <c r="B197" s="609"/>
      <c r="C197" s="609"/>
    </row>
    <row r="198" spans="2:24" ht="14.25" customHeight="1">
      <c r="B198" s="609"/>
      <c r="C198" s="609"/>
    </row>
    <row r="199" spans="2:24" ht="12" customHeight="1">
      <c r="B199" s="575" t="s">
        <v>781</v>
      </c>
      <c r="E199" s="576">
        <v>112611526</v>
      </c>
      <c r="G199" s="576">
        <v>102702314</v>
      </c>
      <c r="I199" s="576">
        <v>103616683</v>
      </c>
      <c r="M199" s="611">
        <v>5500</v>
      </c>
      <c r="N199" s="611"/>
      <c r="O199" s="611"/>
      <c r="Q199" s="611">
        <v>8994843</v>
      </c>
      <c r="R199" s="611"/>
      <c r="T199" s="611">
        <v>8994843</v>
      </c>
      <c r="U199" s="611"/>
      <c r="W199" s="611">
        <v>8989343</v>
      </c>
      <c r="X199" s="611"/>
    </row>
    <row r="200" spans="2:24" ht="43.5" customHeight="1">
      <c r="X200" s="593">
        <f>W199+M199</f>
        <v>8994843</v>
      </c>
    </row>
  </sheetData>
  <mergeCells count="238"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Q7:R9"/>
    <mergeCell ref="T7:T9"/>
    <mergeCell ref="W7:X9"/>
    <mergeCell ref="B11:C12"/>
    <mergeCell ref="B13:C14"/>
    <mergeCell ref="B15:C16"/>
    <mergeCell ref="Q15:R15"/>
    <mergeCell ref="T15:U15"/>
    <mergeCell ref="W15:X15"/>
    <mergeCell ref="B21:C22"/>
    <mergeCell ref="B23:C24"/>
    <mergeCell ref="Q23:R23"/>
    <mergeCell ref="T23:U23"/>
    <mergeCell ref="W23:X23"/>
    <mergeCell ref="B25:C26"/>
    <mergeCell ref="B17:C18"/>
    <mergeCell ref="Q17:R17"/>
    <mergeCell ref="T17:U17"/>
    <mergeCell ref="W17:X17"/>
    <mergeCell ref="B19:C20"/>
    <mergeCell ref="Q19:R19"/>
    <mergeCell ref="T19:U19"/>
    <mergeCell ref="W19:X19"/>
    <mergeCell ref="B33:C34"/>
    <mergeCell ref="Q33:R33"/>
    <mergeCell ref="T33:U33"/>
    <mergeCell ref="W33:X33"/>
    <mergeCell ref="B35:C36"/>
    <mergeCell ref="Q35:R35"/>
    <mergeCell ref="T35:U35"/>
    <mergeCell ref="W35:X35"/>
    <mergeCell ref="B27:C28"/>
    <mergeCell ref="Q27:R27"/>
    <mergeCell ref="T27:U27"/>
    <mergeCell ref="W27:X27"/>
    <mergeCell ref="B29:C30"/>
    <mergeCell ref="B31:C32"/>
    <mergeCell ref="Q47:R47"/>
    <mergeCell ref="T47:U47"/>
    <mergeCell ref="W47:X47"/>
    <mergeCell ref="B49:C50"/>
    <mergeCell ref="Q49:R49"/>
    <mergeCell ref="T49:U49"/>
    <mergeCell ref="W49:X49"/>
    <mergeCell ref="B37:C38"/>
    <mergeCell ref="B39:C40"/>
    <mergeCell ref="B41:C42"/>
    <mergeCell ref="B43:C44"/>
    <mergeCell ref="B45:C46"/>
    <mergeCell ref="B47:C48"/>
    <mergeCell ref="B55:C56"/>
    <mergeCell ref="Q55:R55"/>
    <mergeCell ref="T55:U55"/>
    <mergeCell ref="W55:X55"/>
    <mergeCell ref="B57:C58"/>
    <mergeCell ref="Q57:R57"/>
    <mergeCell ref="T57:U57"/>
    <mergeCell ref="W57:X57"/>
    <mergeCell ref="B51:C52"/>
    <mergeCell ref="Q51:R51"/>
    <mergeCell ref="T51:U51"/>
    <mergeCell ref="W51:X51"/>
    <mergeCell ref="B53:C54"/>
    <mergeCell ref="Q53:R53"/>
    <mergeCell ref="T53:U53"/>
    <mergeCell ref="W53:X53"/>
    <mergeCell ref="B59:C60"/>
    <mergeCell ref="B61:C62"/>
    <mergeCell ref="Q61:R61"/>
    <mergeCell ref="T61:U61"/>
    <mergeCell ref="W61:X61"/>
    <mergeCell ref="B63:C64"/>
    <mergeCell ref="Q63:R63"/>
    <mergeCell ref="T63:U63"/>
    <mergeCell ref="W63:X63"/>
    <mergeCell ref="W69:X69"/>
    <mergeCell ref="B71:C72"/>
    <mergeCell ref="B73:C74"/>
    <mergeCell ref="B65:C66"/>
    <mergeCell ref="Q65:R65"/>
    <mergeCell ref="T65:U65"/>
    <mergeCell ref="W65:X65"/>
    <mergeCell ref="B67:C68"/>
    <mergeCell ref="Q67:R67"/>
    <mergeCell ref="T67:U67"/>
    <mergeCell ref="W67:X67"/>
    <mergeCell ref="B75:C77"/>
    <mergeCell ref="B78:C79"/>
    <mergeCell ref="B80:C81"/>
    <mergeCell ref="B82:C83"/>
    <mergeCell ref="B84:C85"/>
    <mergeCell ref="B86:C88"/>
    <mergeCell ref="B69:C70"/>
    <mergeCell ref="Q69:R69"/>
    <mergeCell ref="T69:U69"/>
    <mergeCell ref="B91:C92"/>
    <mergeCell ref="Q91:R91"/>
    <mergeCell ref="T91:U91"/>
    <mergeCell ref="W91:X91"/>
    <mergeCell ref="B93:C94"/>
    <mergeCell ref="Q93:R93"/>
    <mergeCell ref="T93:U93"/>
    <mergeCell ref="W93:X93"/>
    <mergeCell ref="Q86:R86"/>
    <mergeCell ref="T86:U86"/>
    <mergeCell ref="W86:X86"/>
    <mergeCell ref="B89:C90"/>
    <mergeCell ref="Q89:R89"/>
    <mergeCell ref="T89:U89"/>
    <mergeCell ref="W89:X89"/>
    <mergeCell ref="B102:C103"/>
    <mergeCell ref="Q102:R102"/>
    <mergeCell ref="T102:U102"/>
    <mergeCell ref="W102:X102"/>
    <mergeCell ref="B104:C106"/>
    <mergeCell ref="Q104:R104"/>
    <mergeCell ref="T104:U104"/>
    <mergeCell ref="W104:X104"/>
    <mergeCell ref="B95:C96"/>
    <mergeCell ref="B97:C98"/>
    <mergeCell ref="Q97:R97"/>
    <mergeCell ref="T97:U97"/>
    <mergeCell ref="W97:X97"/>
    <mergeCell ref="B99:C101"/>
    <mergeCell ref="Q99:R99"/>
    <mergeCell ref="T99:U99"/>
    <mergeCell ref="W99:X99"/>
    <mergeCell ref="B112:C113"/>
    <mergeCell ref="Q112:R112"/>
    <mergeCell ref="T112:U112"/>
    <mergeCell ref="W112:X112"/>
    <mergeCell ref="B114:C115"/>
    <mergeCell ref="B116:C117"/>
    <mergeCell ref="B107:C109"/>
    <mergeCell ref="Q107:R107"/>
    <mergeCell ref="T107:U107"/>
    <mergeCell ref="W107:X107"/>
    <mergeCell ref="B110:C111"/>
    <mergeCell ref="Q110:R110"/>
    <mergeCell ref="T110:U110"/>
    <mergeCell ref="W110:X110"/>
    <mergeCell ref="B124:C126"/>
    <mergeCell ref="Q124:R124"/>
    <mergeCell ref="T124:U124"/>
    <mergeCell ref="W124:X124"/>
    <mergeCell ref="B127:C129"/>
    <mergeCell ref="Q127:R127"/>
    <mergeCell ref="T127:U127"/>
    <mergeCell ref="W127:X127"/>
    <mergeCell ref="B118:C120"/>
    <mergeCell ref="B121:C123"/>
    <mergeCell ref="M121:O121"/>
    <mergeCell ref="Q121:R121"/>
    <mergeCell ref="T121:U121"/>
    <mergeCell ref="W121:X121"/>
    <mergeCell ref="B137:C138"/>
    <mergeCell ref="Q137:R137"/>
    <mergeCell ref="T137:U137"/>
    <mergeCell ref="W137:X137"/>
    <mergeCell ref="B139:C141"/>
    <mergeCell ref="B142:C144"/>
    <mergeCell ref="B130:C132"/>
    <mergeCell ref="Q130:R130"/>
    <mergeCell ref="T130:U130"/>
    <mergeCell ref="W130:X130"/>
    <mergeCell ref="B133:C134"/>
    <mergeCell ref="B135:C136"/>
    <mergeCell ref="B154:C156"/>
    <mergeCell ref="Q154:R154"/>
    <mergeCell ref="T154:U154"/>
    <mergeCell ref="W154:X154"/>
    <mergeCell ref="B157:C159"/>
    <mergeCell ref="Q157:R157"/>
    <mergeCell ref="T157:U157"/>
    <mergeCell ref="W157:X157"/>
    <mergeCell ref="B145:C147"/>
    <mergeCell ref="B148:C150"/>
    <mergeCell ref="Q148:R148"/>
    <mergeCell ref="T148:U148"/>
    <mergeCell ref="W148:X148"/>
    <mergeCell ref="B151:C153"/>
    <mergeCell ref="B166:C168"/>
    <mergeCell ref="Q166:R166"/>
    <mergeCell ref="T166:U166"/>
    <mergeCell ref="W166:X166"/>
    <mergeCell ref="B169:C171"/>
    <mergeCell ref="B172:C174"/>
    <mergeCell ref="B160:C162"/>
    <mergeCell ref="Q160:R160"/>
    <mergeCell ref="T160:U160"/>
    <mergeCell ref="W160:X160"/>
    <mergeCell ref="B163:C165"/>
    <mergeCell ref="Q163:R163"/>
    <mergeCell ref="T163:U163"/>
    <mergeCell ref="W163:X163"/>
    <mergeCell ref="B184:C186"/>
    <mergeCell ref="Q184:R184"/>
    <mergeCell ref="T184:U184"/>
    <mergeCell ref="W184:X184"/>
    <mergeCell ref="B187:C189"/>
    <mergeCell ref="Q187:R187"/>
    <mergeCell ref="T187:U187"/>
    <mergeCell ref="W187:X187"/>
    <mergeCell ref="B175:C177"/>
    <mergeCell ref="B178:C180"/>
    <mergeCell ref="Q178:R178"/>
    <mergeCell ref="T178:U178"/>
    <mergeCell ref="W178:X178"/>
    <mergeCell ref="B181:C183"/>
    <mergeCell ref="Q181:R181"/>
    <mergeCell ref="T181:U181"/>
    <mergeCell ref="W181:X181"/>
    <mergeCell ref="B196:C198"/>
    <mergeCell ref="Q196:R196"/>
    <mergeCell ref="T196:U196"/>
    <mergeCell ref="W196:X196"/>
    <mergeCell ref="M199:O199"/>
    <mergeCell ref="Q199:R199"/>
    <mergeCell ref="T199:U199"/>
    <mergeCell ref="W199:X199"/>
    <mergeCell ref="B190:C192"/>
    <mergeCell ref="Q190:R190"/>
    <mergeCell ref="T190:U190"/>
    <mergeCell ref="W190:X190"/>
    <mergeCell ref="B193:C195"/>
    <mergeCell ref="Q193:R193"/>
    <mergeCell ref="T193:U193"/>
    <mergeCell ref="W193:X193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0"/>
  <sheetViews>
    <sheetView tabSelected="1" topLeftCell="B1" zoomScale="90" zoomScaleNormal="90" workbookViewId="0">
      <selection activeCell="J29" sqref="J29"/>
    </sheetView>
  </sheetViews>
  <sheetFormatPr defaultRowHeight="14.25"/>
  <cols>
    <col min="1" max="1" width="47.42578125" customWidth="1"/>
    <col min="2" max="2" width="64.28515625" customWidth="1"/>
    <col min="3" max="3" width="21.42578125" style="183" bestFit="1" customWidth="1"/>
    <col min="4" max="5" width="11.5703125" style="164" customWidth="1"/>
    <col min="6" max="6" width="12.85546875" style="164" bestFit="1" customWidth="1"/>
    <col min="7" max="7" width="17.85546875" style="164" customWidth="1"/>
    <col min="8" max="8" width="11.28515625" bestFit="1" customWidth="1"/>
  </cols>
  <sheetData>
    <row r="1" spans="1:8">
      <c r="A1" s="607" t="s">
        <v>344</v>
      </c>
      <c r="B1" s="607"/>
    </row>
    <row r="2" spans="1:8">
      <c r="A2" s="608" t="s">
        <v>345</v>
      </c>
      <c r="B2" s="607"/>
    </row>
    <row r="3" spans="1:8">
      <c r="A3" s="607" t="s">
        <v>346</v>
      </c>
      <c r="B3" s="607"/>
    </row>
    <row r="4" spans="1:8" ht="28.5">
      <c r="A4" s="607" t="s">
        <v>347</v>
      </c>
      <c r="B4" s="607"/>
      <c r="C4" s="184" t="s">
        <v>348</v>
      </c>
      <c r="D4" s="196" t="s">
        <v>349</v>
      </c>
      <c r="E4" s="164" t="s">
        <v>350</v>
      </c>
      <c r="F4" s="196" t="s">
        <v>351</v>
      </c>
    </row>
    <row r="5" spans="1:8">
      <c r="A5" s="608" t="s">
        <v>352</v>
      </c>
      <c r="B5" s="607"/>
      <c r="C5" s="185">
        <v>0</v>
      </c>
      <c r="D5" s="186">
        <f>縣庫對帳!P6</f>
        <v>0</v>
      </c>
      <c r="E5" s="186">
        <v>40000</v>
      </c>
      <c r="F5" s="186">
        <f>庫款差額!C8+庫款差額!C15-庫款差額!C18-庫款差額!C21</f>
        <v>0</v>
      </c>
    </row>
    <row r="6" spans="1:8" ht="15" thickBot="1">
      <c r="A6" s="605" t="s">
        <v>353</v>
      </c>
      <c r="B6" s="606"/>
      <c r="C6" s="183" t="s">
        <v>354</v>
      </c>
      <c r="D6" s="198">
        <f>VLOOKUP("銀行存款-縣庫存款",平衡!$E$13:$H$41,4,0)+VLOOKUP("零用及週轉金",平衡!$D$13:$H$41,5,0)</f>
        <v>1883483</v>
      </c>
      <c r="E6" s="198">
        <f>VLOOKUP("淨資產",平衡!$K$13:$U$64,10,0)+C5-VLOOKUP("固定資產",平衡!$B$13:$H$41,7,0)</f>
        <v>1741563</v>
      </c>
      <c r="F6" s="169" t="s">
        <v>355</v>
      </c>
    </row>
    <row r="7" spans="1:8" ht="15" thickBot="1">
      <c r="A7" s="605" t="s">
        <v>356</v>
      </c>
      <c r="B7" s="606"/>
      <c r="C7" s="183" t="s">
        <v>357</v>
      </c>
      <c r="D7" s="198">
        <f>VLOOKUP("銀行存款-專戶存款",平衡!$E$13:$H$41,4,0)+VLOOKUP("其他預付款",平衡!$D$13:$H$41,5,0)</f>
        <v>8994843</v>
      </c>
      <c r="E7" s="198">
        <f>VLOOKUP("應付代收款",平衡!$N$13:$U$41,7,0)+VLOOKUP("存入保證金",平衡!$N$13:$U$41,7,0)</f>
        <v>8994843</v>
      </c>
      <c r="F7" s="169" t="s">
        <v>358</v>
      </c>
    </row>
    <row r="8" spans="1:8" ht="20.25" thickBot="1">
      <c r="A8" s="80" t="s">
        <v>127</v>
      </c>
      <c r="B8" s="81" t="s">
        <v>128</v>
      </c>
      <c r="C8" s="183" t="s">
        <v>359</v>
      </c>
      <c r="D8" s="199">
        <f>VLOOKUP("合計：",平衡!$A$13:$H$41,8,0)</f>
        <v>51916595</v>
      </c>
      <c r="E8" s="199">
        <f>VLOOKUP("合計：",平衡!$K$13:$U$41,10,0)</f>
        <v>51916595</v>
      </c>
    </row>
    <row r="9" spans="1:8" ht="17.25" thickBot="1">
      <c r="A9" s="464" t="s">
        <v>129</v>
      </c>
      <c r="B9" s="77" t="s">
        <v>130</v>
      </c>
      <c r="C9" s="183" t="s">
        <v>360</v>
      </c>
      <c r="D9" s="199">
        <f>VLOOKUP("基金用途",餘絀表!$C$16:$T$45,18,0)</f>
        <v>35674806</v>
      </c>
      <c r="E9" s="199">
        <f>VLOOKUP("合       計",各項費用!$D$12:$Q$86,14)</f>
        <v>35674806</v>
      </c>
      <c r="F9" s="199">
        <f>縣庫對帳!P3</f>
        <v>35674806</v>
      </c>
    </row>
    <row r="10" spans="1:8" ht="33.75" thickBot="1">
      <c r="A10" s="464" t="s">
        <v>131</v>
      </c>
      <c r="B10" s="77" t="s">
        <v>132</v>
      </c>
      <c r="C10" s="183" t="s">
        <v>361</v>
      </c>
      <c r="D10" s="199">
        <f>VLOOKUP("基金來源",餘絀表!$C$16:$T$45,18,0)</f>
        <v>35071927</v>
      </c>
      <c r="E10" s="199">
        <f>縣庫對帳!N3</f>
        <v>35071927</v>
      </c>
      <c r="F10" s="199"/>
      <c r="G10" s="199"/>
      <c r="H10" s="186">
        <f>D13-E13</f>
        <v>-248151</v>
      </c>
    </row>
    <row r="11" spans="1:8" ht="27" customHeight="1">
      <c r="A11" s="600" t="s">
        <v>27</v>
      </c>
      <c r="B11" s="600" t="s">
        <v>133</v>
      </c>
      <c r="C11" s="183" t="s">
        <v>362</v>
      </c>
      <c r="D11" s="199">
        <f>VLOOKUP("政府撥入收入",餘絀表!$C$16:$T$45,18,0)</f>
        <v>35023827</v>
      </c>
      <c r="E11" s="199"/>
      <c r="F11" s="199">
        <f>VLOOKUP("政府撥入收入",收支!$B$14:$N$61,13,0)</f>
        <v>35023827</v>
      </c>
      <c r="G11" s="199">
        <f>VLOOKUP("政府撥入收入",對照表!$B$1:$E$28,4,0)</f>
        <v>35023827</v>
      </c>
    </row>
    <row r="12" spans="1:8" ht="28.5">
      <c r="A12" s="603"/>
      <c r="B12" s="603"/>
      <c r="C12" s="183" t="s">
        <v>363</v>
      </c>
      <c r="D12" s="199"/>
      <c r="E12" s="199"/>
      <c r="F12" s="199">
        <f>VLOOKUP("收入",收支!$A$14:$N$61,14,0)</f>
        <v>38804593</v>
      </c>
      <c r="G12" s="199">
        <f>VLOOKUP("基金來源",對照表!$A$1:$E$28,5,0)</f>
        <v>38804593</v>
      </c>
    </row>
    <row r="13" spans="1:8">
      <c r="A13" s="603"/>
      <c r="B13" s="603"/>
      <c r="C13" s="183" t="s">
        <v>364</v>
      </c>
      <c r="D13" s="199">
        <f>IF(封面!J10=12,0,VLOOKUP($G$13,平衡!$N$13:$U$41,7,0))</f>
        <v>0</v>
      </c>
      <c r="E13" s="199">
        <f>VLOOKUP("本期賸餘（短絀）",收支!$A$14:$N$50,14,0)</f>
        <v>248151</v>
      </c>
      <c r="F13" s="199">
        <f>VLOOKUP("本期賸餘(短絀)",對照表!$A$1:$E$28,5,0)</f>
        <v>248151</v>
      </c>
      <c r="G13" s="197" t="str">
        <f>IF(E13&gt;=0,"本期賸餘","本期短絀")</f>
        <v>本期賸餘</v>
      </c>
    </row>
    <row r="14" spans="1:8">
      <c r="A14" s="603"/>
      <c r="B14" s="603"/>
      <c r="C14" s="183" t="s">
        <v>365</v>
      </c>
      <c r="D14" s="199">
        <f>IF(封面!J10=12,0,VLOOKUP("本期賸餘(短絀－)",餘絀表!$C$16:$T$48,18,0))</f>
        <v>0</v>
      </c>
      <c r="E14" s="199"/>
      <c r="F14" s="199">
        <f>IF(封面!J10=12,0,VLOOKUP("本期賸餘(短絀)",對照表!$A$1:$C$28,3,0))</f>
        <v>0</v>
      </c>
      <c r="G14" s="197"/>
    </row>
    <row r="15" spans="1:8">
      <c r="A15" s="603"/>
      <c r="B15" s="603"/>
      <c r="C15" s="183" t="s">
        <v>366</v>
      </c>
      <c r="D15" s="199">
        <f>IF(封面!J12=12,0,VLOOKUP($G$15,平衡!$K$13:$U$41,10,0))</f>
        <v>42779832</v>
      </c>
      <c r="E15" s="199">
        <f>IF(封面!J12=12,0,VLOOKUP("期末淨資產",收支!$A$14:$N$50,14,0))</f>
        <v>42779832</v>
      </c>
      <c r="F15" s="199">
        <f>IF(封面!K12=12,0,VLOOKUP("期末基金餘額",對照表!$A$1:$E$40,5,0))</f>
        <v>42779832</v>
      </c>
      <c r="G15" s="197" t="s">
        <v>366</v>
      </c>
    </row>
    <row r="16" spans="1:8" ht="15" thickBot="1">
      <c r="A16" s="604"/>
      <c r="B16" s="604"/>
      <c r="C16" s="183" t="s">
        <v>367</v>
      </c>
      <c r="D16" s="199">
        <f>VLOOKUP("國民教育計畫",主要業務!$B$15:$J$24,7,0)</f>
        <v>727768</v>
      </c>
      <c r="E16" s="199">
        <f>VLOOKUP("國民教育計畫",餘絀表!$C$16:$T$45,8,0)</f>
        <v>727768</v>
      </c>
    </row>
    <row r="17" spans="1:10">
      <c r="A17" s="600" t="s">
        <v>145</v>
      </c>
      <c r="B17" s="600" t="s">
        <v>134</v>
      </c>
      <c r="C17" s="183" t="s">
        <v>368</v>
      </c>
      <c r="D17" s="199">
        <f>主要業務!H17</f>
        <v>35674806</v>
      </c>
      <c r="E17" s="199">
        <f>VLOOKUP("國民教育計畫",餘絀表!$C$16:$T$45,18,0)</f>
        <v>35674806</v>
      </c>
    </row>
    <row r="18" spans="1:10">
      <c r="A18" s="601"/>
      <c r="B18" s="603"/>
      <c r="C18" s="183" t="s">
        <v>369</v>
      </c>
      <c r="D18" s="199">
        <f>主要業務!H20</f>
        <v>0</v>
      </c>
      <c r="E18" s="199" t="e">
        <f>VLOOKUP("建築及設備計畫",餘絀表!$C$16:$T$45,9,0)</f>
        <v>#N/A</v>
      </c>
    </row>
    <row r="19" spans="1:10">
      <c r="A19" s="601"/>
      <c r="B19" s="603"/>
      <c r="C19" s="183" t="s">
        <v>370</v>
      </c>
      <c r="D19" s="199">
        <f>主要業務!H22</f>
        <v>0</v>
      </c>
      <c r="E19" s="199" t="e">
        <f>VLOOKUP("建築及設備計畫",餘絀表!$C$16:$T$45,18,0)</f>
        <v>#N/A</v>
      </c>
    </row>
    <row r="20" spans="1:10">
      <c r="A20" s="601"/>
      <c r="B20" s="603"/>
      <c r="C20" s="183" t="s">
        <v>371</v>
      </c>
      <c r="D20" s="199">
        <f>VLOOKUP("用人費用",各項費用!$F$12:$Q$100,12,0)</f>
        <v>34075176</v>
      </c>
      <c r="E20" s="199">
        <f>VLOOKUP("人事支出",收支!$B$14:$N$61,13,0)</f>
        <v>34075176</v>
      </c>
      <c r="F20" s="199">
        <f>VLOOKUP("用人費用",對照表!$B$1:$E$28,4,0)</f>
        <v>34075176</v>
      </c>
    </row>
    <row r="21" spans="1:10">
      <c r="A21" s="601"/>
      <c r="B21" s="603"/>
      <c r="C21" s="183" t="s">
        <v>372</v>
      </c>
      <c r="D21" s="199">
        <f>IF(E21=0,0,資產!F10+H21-H22)</f>
        <v>2876984</v>
      </c>
      <c r="E21" s="199">
        <f>VLOOKUP("折舊、折耗及攤銷",收支!$B$14:$N$61,13,0)</f>
        <v>2876984</v>
      </c>
      <c r="F21" s="199">
        <f>VLOOKUP("折舊、折耗及攤銷",對照表!$H$1:$J$28,3,0)</f>
        <v>2876984</v>
      </c>
      <c r="G21" s="460" t="s">
        <v>373</v>
      </c>
      <c r="H21" s="461">
        <f>64274+65736+233712+96924</f>
        <v>460646</v>
      </c>
    </row>
    <row r="22" spans="1:10">
      <c r="A22" s="601"/>
      <c r="B22" s="603"/>
      <c r="C22" s="470"/>
      <c r="D22" s="186"/>
      <c r="E22" s="186"/>
      <c r="F22" s="186"/>
      <c r="G22" s="557" t="s">
        <v>455</v>
      </c>
      <c r="H22" s="471">
        <f>1275+90176</f>
        <v>91451</v>
      </c>
    </row>
    <row r="23" spans="1:10">
      <c r="A23" s="601"/>
      <c r="B23" s="625"/>
      <c r="C23" s="488"/>
      <c r="D23" s="559" t="str">
        <f>封面!H10&amp;封面!I10&amp;封面!J10&amp;封面!K10&amp;"會計報告各帳戶存款餘額"</f>
        <v>111年12月會計報告各帳戶存款餘額</v>
      </c>
      <c r="E23" s="562"/>
      <c r="F23" s="560"/>
      <c r="G23" s="489" t="s">
        <v>374</v>
      </c>
      <c r="H23" s="490"/>
    </row>
    <row r="24" spans="1:10">
      <c r="A24" s="601"/>
      <c r="B24" s="625"/>
      <c r="C24" s="488"/>
      <c r="D24" s="491" t="s">
        <v>375</v>
      </c>
      <c r="E24" s="492" t="s">
        <v>376</v>
      </c>
      <c r="F24" s="493" t="s">
        <v>377</v>
      </c>
      <c r="G24" s="494"/>
      <c r="H24" s="494"/>
      <c r="I24" s="164"/>
    </row>
    <row r="25" spans="1:10">
      <c r="A25" s="601"/>
      <c r="B25" s="625"/>
      <c r="C25" s="495" t="s">
        <v>378</v>
      </c>
      <c r="D25" s="495">
        <f>代收款!Y14</f>
        <v>0</v>
      </c>
      <c r="E25" s="495"/>
      <c r="F25" s="496">
        <f t="shared" ref="F25:F27" si="0">SUM(D25:E25)</f>
        <v>0</v>
      </c>
      <c r="G25" s="496">
        <f>F25</f>
        <v>0</v>
      </c>
      <c r="H25" s="497"/>
      <c r="I25" s="164"/>
    </row>
    <row r="26" spans="1:10" ht="15" thickBot="1">
      <c r="A26" s="602"/>
      <c r="B26" s="626"/>
      <c r="C26" s="495" t="s">
        <v>379</v>
      </c>
      <c r="D26" s="495">
        <v>0</v>
      </c>
      <c r="E26" s="495"/>
      <c r="F26" s="496">
        <f t="shared" si="0"/>
        <v>0</v>
      </c>
      <c r="G26" s="496">
        <f t="shared" ref="G26:G30" si="1">F26</f>
        <v>0</v>
      </c>
      <c r="H26" s="497"/>
      <c r="I26" s="164"/>
    </row>
    <row r="27" spans="1:10" ht="33.75" thickBot="1">
      <c r="A27" s="464" t="s">
        <v>135</v>
      </c>
      <c r="B27" s="487" t="s">
        <v>146</v>
      </c>
      <c r="C27" s="495" t="s">
        <v>380</v>
      </c>
      <c r="D27" s="498">
        <f>代收款!Y89</f>
        <v>1068823</v>
      </c>
      <c r="E27" s="498"/>
      <c r="F27" s="496">
        <f t="shared" si="0"/>
        <v>1068823</v>
      </c>
      <c r="G27" s="496">
        <f t="shared" si="1"/>
        <v>1068823</v>
      </c>
      <c r="H27" s="497"/>
      <c r="I27" s="164"/>
    </row>
    <row r="28" spans="1:10" ht="16.899999999999999" customHeight="1" thickBot="1">
      <c r="A28" s="464" t="s">
        <v>69</v>
      </c>
      <c r="B28" s="487" t="s">
        <v>136</v>
      </c>
      <c r="C28" s="495" t="s">
        <v>381</v>
      </c>
      <c r="D28" s="499">
        <f>F28</f>
        <v>5032173</v>
      </c>
      <c r="E28" s="498"/>
      <c r="F28" s="500">
        <f>F31-(F25+F26+F27+F29+F30)</f>
        <v>5032173</v>
      </c>
      <c r="G28" s="496">
        <f t="shared" si="1"/>
        <v>5032173</v>
      </c>
      <c r="H28" s="497"/>
      <c r="I28" s="164"/>
      <c r="J28" s="166"/>
    </row>
    <row r="29" spans="1:10" ht="17.25" thickBot="1">
      <c r="A29" s="464" t="s">
        <v>137</v>
      </c>
      <c r="B29" s="487" t="s">
        <v>138</v>
      </c>
      <c r="C29" s="495" t="s">
        <v>382</v>
      </c>
      <c r="D29" s="498">
        <f>代收款!Y115</f>
        <v>993847</v>
      </c>
      <c r="E29" s="498">
        <f>代收款!Y104</f>
        <v>1900000</v>
      </c>
      <c r="F29" s="496">
        <f>SUM(D29:E29)</f>
        <v>2893847</v>
      </c>
      <c r="G29" s="496">
        <f t="shared" si="1"/>
        <v>2893847</v>
      </c>
      <c r="H29" s="497"/>
      <c r="I29" s="164"/>
    </row>
    <row r="30" spans="1:10">
      <c r="A30" s="600" t="s">
        <v>139</v>
      </c>
      <c r="B30" s="624" t="s">
        <v>140</v>
      </c>
      <c r="C30" s="495" t="s">
        <v>383</v>
      </c>
      <c r="D30" s="498"/>
      <c r="E30" s="498"/>
      <c r="F30" s="496">
        <f>SUM(D30:E30)</f>
        <v>0</v>
      </c>
      <c r="G30" s="496">
        <f t="shared" si="1"/>
        <v>0</v>
      </c>
      <c r="H30" s="497"/>
      <c r="I30" s="164"/>
    </row>
    <row r="31" spans="1:10">
      <c r="A31" s="603"/>
      <c r="B31" s="625"/>
      <c r="C31" s="501" t="s">
        <v>384</v>
      </c>
      <c r="D31" s="502">
        <f>SUM(D25:D30)</f>
        <v>7094843</v>
      </c>
      <c r="E31" s="502">
        <f>SUM(E25:E30)</f>
        <v>1900000</v>
      </c>
      <c r="F31" s="500">
        <f>VLOOKUP("銀行存款-專戶存款",平衡!$E$13:$H$40,4,0)</f>
        <v>8994843</v>
      </c>
      <c r="G31" s="503">
        <f>SUM(G25:G30)</f>
        <v>8994843</v>
      </c>
      <c r="H31" s="497"/>
      <c r="I31" s="164"/>
    </row>
    <row r="32" spans="1:10" ht="15" thickBot="1">
      <c r="A32" s="602"/>
      <c r="B32" s="602"/>
      <c r="C32" s="501" t="s">
        <v>453</v>
      </c>
      <c r="D32" s="622">
        <f>SUM(D31:E31)</f>
        <v>8994843</v>
      </c>
      <c r="E32" s="623"/>
      <c r="F32" s="186"/>
      <c r="G32" s="186"/>
      <c r="H32" s="164"/>
      <c r="I32" s="164"/>
    </row>
    <row r="33" spans="1:9" ht="15" thickBot="1">
      <c r="A33" s="200"/>
      <c r="B33" s="200"/>
      <c r="D33" s="183"/>
      <c r="E33" s="183"/>
      <c r="F33" s="199"/>
      <c r="G33" s="199"/>
      <c r="H33" s="186"/>
      <c r="I33" s="164"/>
    </row>
    <row r="34" spans="1:9" ht="15" thickBot="1">
      <c r="A34" s="200"/>
      <c r="B34" s="200"/>
      <c r="D34" s="183"/>
      <c r="E34" s="183"/>
      <c r="F34" s="199"/>
      <c r="G34" s="199"/>
      <c r="H34" s="186"/>
      <c r="I34" s="164"/>
    </row>
    <row r="35" spans="1:9" ht="15" thickBot="1">
      <c r="A35" s="200"/>
      <c r="B35" s="200"/>
      <c r="D35" s="183"/>
      <c r="E35" s="183"/>
      <c r="F35" s="199"/>
      <c r="G35" s="199"/>
      <c r="H35" s="186"/>
    </row>
    <row r="36" spans="1:9" ht="20.25" thickBot="1">
      <c r="A36" s="75"/>
      <c r="B36" s="75"/>
    </row>
    <row r="37" spans="1:9" ht="20.25" thickBot="1">
      <c r="A37" s="78" t="s">
        <v>127</v>
      </c>
      <c r="B37" s="79" t="s">
        <v>141</v>
      </c>
    </row>
    <row r="38" spans="1:9" ht="17.25" thickBot="1">
      <c r="A38" s="464" t="s">
        <v>142</v>
      </c>
      <c r="B38" s="77" t="s">
        <v>162</v>
      </c>
    </row>
    <row r="39" spans="1:9" ht="33.75" thickBot="1">
      <c r="A39" s="464" t="s">
        <v>129</v>
      </c>
      <c r="B39" s="77" t="s">
        <v>163</v>
      </c>
    </row>
    <row r="40" spans="1:9" ht="17.25" thickBot="1">
      <c r="A40" s="464" t="s">
        <v>143</v>
      </c>
      <c r="B40" s="77" t="s">
        <v>144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48" priority="34" stopIfTrue="1">
      <formula>$D$16&lt;&gt;$E$16</formula>
    </cfRule>
  </conditionalFormatting>
  <conditionalFormatting sqref="D17:E17">
    <cfRule type="expression" dxfId="47" priority="33" stopIfTrue="1">
      <formula>$D17&lt;&gt;$E17</formula>
    </cfRule>
  </conditionalFormatting>
  <conditionalFormatting sqref="D18:E18 E19">
    <cfRule type="expression" dxfId="46" priority="32" stopIfTrue="1">
      <formula>$D$18&lt;&gt;$E$18</formula>
    </cfRule>
  </conditionalFormatting>
  <conditionalFormatting sqref="G31">
    <cfRule type="expression" dxfId="45" priority="31" stopIfTrue="1">
      <formula>$F$33&lt;&gt;$G$33</formula>
    </cfRule>
  </conditionalFormatting>
  <conditionalFormatting sqref="G32">
    <cfRule type="expression" dxfId="44" priority="30" stopIfTrue="1">
      <formula>$H$34&lt;&gt;0</formula>
    </cfRule>
  </conditionalFormatting>
  <conditionalFormatting sqref="G33">
    <cfRule type="expression" dxfId="43" priority="29" stopIfTrue="1">
      <formula>$F$33&lt;&gt;$G$33</formula>
    </cfRule>
  </conditionalFormatting>
  <conditionalFormatting sqref="G34">
    <cfRule type="expression" dxfId="42" priority="28" stopIfTrue="1">
      <formula>$H$34&lt;&gt;0</formula>
    </cfRule>
  </conditionalFormatting>
  <conditionalFormatting sqref="G31">
    <cfRule type="expression" dxfId="41" priority="27" stopIfTrue="1">
      <formula>$F$33&lt;&gt;$G$33</formula>
    </cfRule>
  </conditionalFormatting>
  <conditionalFormatting sqref="D14 F14:F15">
    <cfRule type="expression" dxfId="40" priority="26">
      <formula>$D$14&lt;&gt;$F$14</formula>
    </cfRule>
  </conditionalFormatting>
  <conditionalFormatting sqref="F15">
    <cfRule type="expression" dxfId="39" priority="23">
      <formula>$E$15&lt;&gt;$F$15</formula>
    </cfRule>
    <cfRule type="expression" dxfId="38" priority="24">
      <formula>$D$15&lt;&gt;$F$15</formula>
    </cfRule>
    <cfRule type="expression" dxfId="37" priority="25">
      <formula>$D$14&lt;&gt;$F$14</formula>
    </cfRule>
  </conditionalFormatting>
  <conditionalFormatting sqref="D15">
    <cfRule type="expression" dxfId="36" priority="21">
      <formula>$D$15&lt;&gt;$F$15</formula>
    </cfRule>
    <cfRule type="expression" dxfId="35" priority="22">
      <formula>$D$15&lt;&gt;$E$15</formula>
    </cfRule>
  </conditionalFormatting>
  <conditionalFormatting sqref="E15">
    <cfRule type="expression" dxfId="34" priority="19">
      <formula>$E$15&lt;&gt;$F$15</formula>
    </cfRule>
    <cfRule type="expression" dxfId="33" priority="20">
      <formula>$D$15&lt;&gt;$E$15</formula>
    </cfRule>
  </conditionalFormatting>
  <conditionalFormatting sqref="D7:E7">
    <cfRule type="expression" dxfId="32" priority="18">
      <formula>$D$7&lt;&gt;$E$7</formula>
    </cfRule>
  </conditionalFormatting>
  <conditionalFormatting sqref="D8:E8">
    <cfRule type="expression" dxfId="31" priority="17">
      <formula>$D$8&lt;&gt;$E$8</formula>
    </cfRule>
  </conditionalFormatting>
  <conditionalFormatting sqref="E16:E19">
    <cfRule type="expression" dxfId="30" priority="16" stopIfTrue="1">
      <formula>#REF!&lt;&gt;#REF!</formula>
    </cfRule>
  </conditionalFormatting>
  <conditionalFormatting sqref="D20:F20">
    <cfRule type="expression" dxfId="29" priority="14">
      <formula>$D$20&lt;&gt;$E$20</formula>
    </cfRule>
  </conditionalFormatting>
  <conditionalFormatting sqref="D20:F20">
    <cfRule type="expression" dxfId="28" priority="13">
      <formula>$E$20&lt;&gt;$F$20</formula>
    </cfRule>
  </conditionalFormatting>
  <conditionalFormatting sqref="D21:F22 D23:D24 F23">
    <cfRule type="expression" dxfId="27" priority="12">
      <formula>$D$21&lt;&gt;$E$21</formula>
    </cfRule>
  </conditionalFormatting>
  <conditionalFormatting sqref="D21:F22 D23:D24 F23">
    <cfRule type="expression" dxfId="26" priority="11">
      <formula>$D$21&lt;&gt;$F$21</formula>
    </cfRule>
  </conditionalFormatting>
  <conditionalFormatting sqref="D9:F9">
    <cfRule type="expression" dxfId="25" priority="9">
      <formula>$D$9&lt;&gt;$F$9</formula>
    </cfRule>
    <cfRule type="expression" dxfId="24" priority="10">
      <formula>$D$9&lt;&gt;$E$9</formula>
    </cfRule>
  </conditionalFormatting>
  <conditionalFormatting sqref="D10:G10">
    <cfRule type="expression" dxfId="23" priority="8">
      <formula>$D$10&lt;&gt;$E$10</formula>
    </cfRule>
  </conditionalFormatting>
  <conditionalFormatting sqref="F12:G12">
    <cfRule type="expression" dxfId="22" priority="7">
      <formula>$F$12&lt;&gt;$G$12</formula>
    </cfRule>
  </conditionalFormatting>
  <conditionalFormatting sqref="F35:G35">
    <cfRule type="expression" dxfId="21" priority="6" stopIfTrue="1">
      <formula>$F$35&lt;&gt;$G$35</formula>
    </cfRule>
  </conditionalFormatting>
  <conditionalFormatting sqref="F30 F25:G25 F26 G26:G30">
    <cfRule type="expression" dxfId="20" priority="5" stopIfTrue="1">
      <formula>$F26&lt;&gt;$G26</formula>
    </cfRule>
  </conditionalFormatting>
  <conditionalFormatting sqref="G31 F25:F31">
    <cfRule type="expression" dxfId="19" priority="4" stopIfTrue="1">
      <formula>$F25&lt;&gt;$G25</formula>
    </cfRule>
  </conditionalFormatting>
  <conditionalFormatting sqref="E13:F13">
    <cfRule type="expression" dxfId="18" priority="3">
      <formula>$E$13&lt;&gt;$F$13</formula>
    </cfRule>
  </conditionalFormatting>
  <conditionalFormatting sqref="E23">
    <cfRule type="expression" dxfId="17" priority="2">
      <formula>$D$21&lt;&gt;$E$21</formula>
    </cfRule>
  </conditionalFormatting>
  <conditionalFormatting sqref="E23">
    <cfRule type="expression" dxfId="16" priority="1">
      <formula>$D$21&lt;&gt;$F$21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6"/>
  <sheetViews>
    <sheetView view="pageBreakPreview" zoomScale="75" zoomScaleSheetLayoutView="100" workbookViewId="0">
      <selection activeCell="O11" sqref="O11"/>
    </sheetView>
  </sheetViews>
  <sheetFormatPr defaultColWidth="9.140625" defaultRowHeight="14.25"/>
  <cols>
    <col min="1" max="6" width="9.140625" style="59"/>
    <col min="7" max="7" width="10.42578125" style="59" bestFit="1" customWidth="1"/>
    <col min="8" max="8" width="14" style="59" customWidth="1"/>
    <col min="9" max="9" width="9.28515625" style="59" bestFit="1" customWidth="1"/>
    <col min="10" max="10" width="9.140625" style="59"/>
    <col min="11" max="12" width="6.85546875" style="59" bestFit="1" customWidth="1"/>
    <col min="13" max="13" width="11.85546875" style="59" customWidth="1"/>
    <col min="14" max="16384" width="9.140625" style="59"/>
  </cols>
  <sheetData>
    <row r="1" spans="1:15" ht="36.75">
      <c r="A1" s="63" t="s">
        <v>284</v>
      </c>
    </row>
    <row r="4" spans="1:15" ht="36.75">
      <c r="A4" s="595" t="s">
        <v>283</v>
      </c>
      <c r="B4" s="596"/>
      <c r="C4" s="596"/>
      <c r="D4" s="596"/>
      <c r="E4" s="596"/>
      <c r="F4" s="596"/>
      <c r="G4" s="596"/>
      <c r="H4" s="596"/>
      <c r="I4" s="596"/>
      <c r="J4" s="596"/>
      <c r="K4" s="596"/>
      <c r="L4" s="596"/>
      <c r="M4" s="596"/>
      <c r="N4" s="596"/>
    </row>
    <row r="5" spans="1:15" ht="59.25" customHeight="1"/>
    <row r="6" spans="1:15" ht="59.25" customHeight="1"/>
    <row r="7" spans="1:15" ht="36.75">
      <c r="C7" s="597" t="s">
        <v>120</v>
      </c>
      <c r="D7" s="597"/>
      <c r="E7" s="597"/>
      <c r="F7" s="597"/>
      <c r="G7" s="597"/>
      <c r="H7" s="597"/>
      <c r="I7" s="597"/>
      <c r="J7" s="597"/>
      <c r="K7" s="597"/>
      <c r="L7" s="597"/>
    </row>
    <row r="8" spans="1:15" ht="51.75" customHeight="1"/>
    <row r="9" spans="1:15" ht="51.75" customHeight="1"/>
    <row r="10" spans="1:15" s="67" customFormat="1" ht="32.25">
      <c r="C10" s="66"/>
      <c r="D10" s="66"/>
      <c r="E10" s="598" t="s">
        <v>121</v>
      </c>
      <c r="F10" s="598"/>
      <c r="G10" s="598"/>
      <c r="H10" s="67">
        <v>111</v>
      </c>
      <c r="I10" s="67" t="s">
        <v>122</v>
      </c>
      <c r="J10" s="67">
        <v>12</v>
      </c>
      <c r="K10" s="73" t="s">
        <v>123</v>
      </c>
      <c r="L10" s="74" t="s">
        <v>126</v>
      </c>
      <c r="O10" s="67">
        <v>31</v>
      </c>
    </row>
    <row r="15" spans="1:15" s="64" customFormat="1" ht="34.5" customHeight="1">
      <c r="B15" s="599" t="s">
        <v>124</v>
      </c>
      <c r="C15" s="599"/>
      <c r="D15" s="599"/>
      <c r="E15" s="599"/>
      <c r="F15" s="599"/>
      <c r="H15" s="65"/>
      <c r="I15" s="65" t="s">
        <v>125</v>
      </c>
      <c r="J15" s="65"/>
      <c r="K15" s="65"/>
      <c r="L15" s="65"/>
    </row>
    <row r="16" spans="1:15" ht="12" customHeight="1"/>
  </sheetData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I48"/>
  <sheetViews>
    <sheetView showGridLines="0" showOutlineSymbols="0" view="pageBreakPreview" zoomScale="90" zoomScaleSheetLayoutView="90" workbookViewId="0">
      <selection activeCell="A20" sqref="A20:XFD20"/>
    </sheetView>
  </sheetViews>
  <sheetFormatPr defaultColWidth="6.85546875" defaultRowHeight="12.75" customHeight="1"/>
  <cols>
    <col min="1" max="1" width="2.7109375" style="85" customWidth="1"/>
    <col min="2" max="2" width="1" style="85" customWidth="1"/>
    <col min="3" max="3" width="24" style="85" customWidth="1"/>
    <col min="4" max="4" width="6.140625" style="85" bestFit="1" customWidth="1"/>
    <col min="5" max="5" width="2" style="85" hidden="1" customWidth="1"/>
    <col min="6" max="6" width="3.7109375" style="85" hidden="1" customWidth="1"/>
    <col min="7" max="7" width="16.140625" style="85" customWidth="1"/>
    <col min="8" max="8" width="3" style="85" hidden="1" customWidth="1"/>
    <col min="9" max="9" width="2.42578125" style="85" hidden="1" customWidth="1"/>
    <col min="10" max="10" width="9.85546875" style="85" bestFit="1" customWidth="1"/>
    <col min="11" max="11" width="10.85546875" style="85" hidden="1" customWidth="1"/>
    <col min="12" max="12" width="3" style="85" hidden="1" customWidth="1"/>
    <col min="13" max="13" width="10.85546875" style="85" customWidth="1"/>
    <col min="14" max="14" width="9" style="85" bestFit="1" customWidth="1"/>
    <col min="15" max="15" width="9.85546875" style="85" hidden="1" customWidth="1"/>
    <col min="16" max="16" width="1.7109375" style="85" hidden="1" customWidth="1"/>
    <col min="17" max="17" width="6.7109375" style="85" customWidth="1"/>
    <col min="18" max="19" width="1.140625" style="85" hidden="1" customWidth="1"/>
    <col min="20" max="20" width="12.85546875" style="85" customWidth="1"/>
    <col min="21" max="21" width="8" style="85" hidden="1" customWidth="1"/>
    <col min="22" max="22" width="1.28515625" style="85" hidden="1" customWidth="1"/>
    <col min="23" max="23" width="12.140625" style="85" customWidth="1"/>
    <col min="24" max="24" width="5.7109375" style="85" hidden="1" customWidth="1"/>
    <col min="25" max="25" width="2.7109375" style="85" hidden="1" customWidth="1"/>
    <col min="26" max="26" width="2.5703125" style="85" hidden="1" customWidth="1"/>
    <col min="27" max="27" width="11" style="85" customWidth="1"/>
    <col min="28" max="28" width="3" style="85" hidden="1" customWidth="1"/>
    <col min="29" max="29" width="3.85546875" style="85" hidden="1" customWidth="1"/>
    <col min="30" max="30" width="12.5703125" style="85" customWidth="1"/>
    <col min="31" max="31" width="0" style="85" hidden="1" customWidth="1"/>
    <col min="32" max="32" width="3.85546875" style="85" bestFit="1" customWidth="1"/>
    <col min="33" max="33" width="11.140625" style="215" customWidth="1"/>
    <col min="34" max="16384" width="6.85546875" style="85"/>
  </cols>
  <sheetData>
    <row r="1" spans="2:35" ht="2.25" customHeight="1">
      <c r="AE1" s="630"/>
      <c r="AF1" s="630"/>
      <c r="AG1" s="630"/>
      <c r="AH1" s="630"/>
      <c r="AI1" s="630"/>
    </row>
    <row r="2" spans="2:35" ht="9" customHeight="1">
      <c r="B2" s="474"/>
      <c r="C2" s="634" t="str">
        <f>[1]封面!$A$4</f>
        <v>彰化縣地方教育發展基金－彰化縣秀水鄉馬興國民小學</v>
      </c>
      <c r="D2" s="634"/>
      <c r="E2" s="634"/>
      <c r="F2" s="634"/>
      <c r="G2" s="634"/>
      <c r="H2" s="634"/>
      <c r="I2" s="634"/>
      <c r="J2" s="634"/>
      <c r="K2" s="634"/>
      <c r="L2" s="634"/>
      <c r="M2" s="634"/>
      <c r="N2" s="634"/>
      <c r="O2" s="634"/>
      <c r="P2" s="634"/>
      <c r="Q2" s="634"/>
      <c r="R2" s="634"/>
      <c r="S2" s="634"/>
      <c r="T2" s="634"/>
      <c r="U2" s="634"/>
      <c r="V2" s="634"/>
      <c r="W2" s="634"/>
      <c r="X2" s="634"/>
      <c r="Y2" s="634"/>
      <c r="Z2" s="634"/>
      <c r="AA2" s="634"/>
      <c r="AB2" s="634"/>
      <c r="AC2" s="634"/>
      <c r="AD2" s="634"/>
      <c r="AE2" s="630"/>
      <c r="AF2" s="630"/>
      <c r="AG2" s="630"/>
      <c r="AH2" s="630"/>
      <c r="AI2" s="630"/>
    </row>
    <row r="3" spans="2:35" ht="18" customHeight="1">
      <c r="B3" s="474"/>
      <c r="C3" s="634"/>
      <c r="D3" s="634"/>
      <c r="E3" s="634"/>
      <c r="F3" s="634"/>
      <c r="G3" s="634"/>
      <c r="H3" s="634"/>
      <c r="I3" s="634"/>
      <c r="J3" s="634"/>
      <c r="K3" s="634"/>
      <c r="L3" s="634"/>
      <c r="M3" s="634"/>
      <c r="N3" s="634"/>
      <c r="O3" s="634"/>
      <c r="P3" s="634"/>
      <c r="Q3" s="634"/>
      <c r="R3" s="634"/>
      <c r="S3" s="634"/>
      <c r="T3" s="634"/>
      <c r="U3" s="634"/>
      <c r="V3" s="634"/>
      <c r="W3" s="634"/>
      <c r="X3" s="634"/>
      <c r="Y3" s="634"/>
      <c r="Z3" s="634"/>
      <c r="AA3" s="634"/>
      <c r="AB3" s="634"/>
      <c r="AC3" s="634"/>
      <c r="AD3" s="634"/>
    </row>
    <row r="4" spans="2:35" ht="24" customHeight="1">
      <c r="B4" s="631" t="s">
        <v>9</v>
      </c>
      <c r="C4" s="631"/>
      <c r="D4" s="631"/>
      <c r="E4" s="631"/>
      <c r="F4" s="631"/>
      <c r="G4" s="631"/>
      <c r="H4" s="631"/>
      <c r="I4" s="631"/>
      <c r="J4" s="631"/>
      <c r="K4" s="631"/>
      <c r="L4" s="631"/>
      <c r="M4" s="631"/>
      <c r="N4" s="631"/>
      <c r="O4" s="631"/>
      <c r="P4" s="631"/>
      <c r="Q4" s="631"/>
      <c r="R4" s="631"/>
      <c r="S4" s="631"/>
      <c r="T4" s="631"/>
      <c r="U4" s="631"/>
      <c r="V4" s="631"/>
      <c r="W4" s="631"/>
      <c r="X4" s="631"/>
      <c r="Y4" s="631"/>
      <c r="Z4" s="631"/>
      <c r="AA4" s="631"/>
      <c r="AB4" s="631"/>
      <c r="AC4" s="631"/>
      <c r="AD4" s="631"/>
    </row>
    <row r="5" spans="2:35" ht="7.5" customHeight="1">
      <c r="C5" s="632" t="str">
        <f>封面!$E$10&amp;封面!$H$10&amp;封面!$I$10&amp;封面!$J$10&amp;封面!$K$10&amp;封面!L10</f>
        <v>中華民國111年12月份</v>
      </c>
      <c r="D5" s="632"/>
      <c r="E5" s="632"/>
      <c r="F5" s="632"/>
      <c r="G5" s="632"/>
      <c r="H5" s="632"/>
      <c r="I5" s="632"/>
      <c r="J5" s="632"/>
      <c r="K5" s="632"/>
      <c r="L5" s="632"/>
      <c r="M5" s="632"/>
      <c r="N5" s="632"/>
      <c r="O5" s="632"/>
      <c r="P5" s="632"/>
      <c r="Q5" s="632"/>
      <c r="R5" s="632"/>
      <c r="S5" s="632"/>
      <c r="T5" s="632"/>
      <c r="U5" s="632"/>
      <c r="V5" s="632"/>
      <c r="W5" s="632"/>
      <c r="X5" s="632"/>
      <c r="Y5" s="632"/>
      <c r="Z5" s="632"/>
      <c r="AA5" s="632"/>
      <c r="AB5" s="632"/>
      <c r="AC5" s="632"/>
      <c r="AD5" s="632"/>
    </row>
    <row r="6" spans="2:35" ht="13.9" customHeight="1">
      <c r="C6" s="632"/>
      <c r="D6" s="632"/>
      <c r="E6" s="632"/>
      <c r="F6" s="632"/>
      <c r="G6" s="632"/>
      <c r="H6" s="632"/>
      <c r="I6" s="632"/>
      <c r="J6" s="632"/>
      <c r="K6" s="632"/>
      <c r="L6" s="632"/>
      <c r="M6" s="632"/>
      <c r="N6" s="632"/>
      <c r="O6" s="632"/>
      <c r="P6" s="632"/>
      <c r="Q6" s="632"/>
      <c r="R6" s="632"/>
      <c r="S6" s="632"/>
      <c r="T6" s="632"/>
      <c r="U6" s="632"/>
      <c r="V6" s="632"/>
      <c r="W6" s="632"/>
      <c r="X6" s="632"/>
      <c r="Y6" s="632"/>
      <c r="Z6" s="632"/>
      <c r="AA6" s="632"/>
      <c r="AB6" s="632"/>
      <c r="AC6" s="632"/>
      <c r="AD6" s="632"/>
    </row>
    <row r="7" spans="2:35" ht="16.149999999999999" customHeight="1">
      <c r="Y7" s="633" t="s">
        <v>1</v>
      </c>
      <c r="Z7" s="633"/>
      <c r="AA7" s="633"/>
      <c r="AB7" s="633"/>
      <c r="AC7" s="633"/>
      <c r="AD7" s="633"/>
    </row>
    <row r="8" spans="2:35" ht="3.75" customHeight="1"/>
    <row r="9" spans="2:35" s="86" customFormat="1" ht="12.75" customHeight="1">
      <c r="C9" s="627" t="s">
        <v>385</v>
      </c>
      <c r="D9" s="627"/>
      <c r="E9" s="473"/>
      <c r="F9" s="473"/>
      <c r="G9" s="646" t="s">
        <v>459</v>
      </c>
      <c r="H9" s="473"/>
      <c r="I9" s="473"/>
      <c r="J9" s="635" t="s">
        <v>10</v>
      </c>
      <c r="K9" s="636"/>
      <c r="L9" s="636"/>
      <c r="M9" s="636"/>
      <c r="N9" s="636"/>
      <c r="O9" s="636"/>
      <c r="P9" s="636"/>
      <c r="Q9" s="637"/>
      <c r="R9" s="473"/>
      <c r="S9" s="473"/>
      <c r="T9" s="635" t="s">
        <v>11</v>
      </c>
      <c r="U9" s="636"/>
      <c r="V9" s="636"/>
      <c r="W9" s="636"/>
      <c r="X9" s="636"/>
      <c r="Y9" s="636"/>
      <c r="Z9" s="636"/>
      <c r="AA9" s="636"/>
      <c r="AB9" s="636"/>
      <c r="AC9" s="636"/>
      <c r="AD9" s="637"/>
      <c r="AG9" s="216"/>
    </row>
    <row r="10" spans="2:35" s="86" customFormat="1" ht="15.6" hidden="1" customHeight="1">
      <c r="C10" s="473"/>
      <c r="D10" s="561"/>
      <c r="E10" s="473"/>
      <c r="F10" s="473"/>
      <c r="G10" s="654"/>
      <c r="H10" s="472"/>
      <c r="I10" s="473"/>
      <c r="J10" s="641"/>
      <c r="K10" s="642"/>
      <c r="L10" s="642"/>
      <c r="M10" s="642"/>
      <c r="N10" s="642"/>
      <c r="O10" s="642"/>
      <c r="P10" s="642"/>
      <c r="Q10" s="643"/>
      <c r="R10" s="473"/>
      <c r="S10" s="473"/>
      <c r="T10" s="641"/>
      <c r="U10" s="642"/>
      <c r="V10" s="642"/>
      <c r="W10" s="642"/>
      <c r="X10" s="642"/>
      <c r="Y10" s="642"/>
      <c r="Z10" s="642"/>
      <c r="AA10" s="642"/>
      <c r="AB10" s="642"/>
      <c r="AC10" s="642"/>
      <c r="AD10" s="643"/>
      <c r="AG10" s="216"/>
    </row>
    <row r="11" spans="2:35" s="86" customFormat="1" ht="25.15" hidden="1" customHeight="1">
      <c r="C11" s="473"/>
      <c r="D11" s="473"/>
      <c r="E11" s="473"/>
      <c r="F11" s="473"/>
      <c r="G11" s="654"/>
      <c r="H11" s="472"/>
      <c r="I11" s="473"/>
      <c r="J11" s="473"/>
      <c r="K11" s="473"/>
      <c r="L11" s="473"/>
      <c r="M11" s="473"/>
      <c r="N11" s="473"/>
      <c r="O11" s="473"/>
      <c r="P11" s="473"/>
      <c r="Q11" s="473"/>
      <c r="R11" s="473"/>
      <c r="S11" s="473"/>
      <c r="T11" s="473"/>
      <c r="U11" s="473"/>
      <c r="V11" s="473"/>
      <c r="W11" s="473"/>
      <c r="X11" s="473"/>
      <c r="Y11" s="473"/>
      <c r="Z11" s="473"/>
      <c r="AA11" s="473"/>
      <c r="AB11" s="473"/>
      <c r="AC11" s="473"/>
      <c r="AD11" s="473"/>
      <c r="AG11" s="216"/>
    </row>
    <row r="12" spans="2:35" s="86" customFormat="1" ht="15" customHeight="1">
      <c r="C12" s="628" t="s">
        <v>458</v>
      </c>
      <c r="D12" s="627" t="s">
        <v>7</v>
      </c>
      <c r="E12" s="473"/>
      <c r="F12" s="473"/>
      <c r="G12" s="654"/>
      <c r="H12" s="472"/>
      <c r="I12" s="473"/>
      <c r="J12" s="646" t="s">
        <v>13</v>
      </c>
      <c r="K12" s="646" t="s">
        <v>13</v>
      </c>
      <c r="L12" s="473"/>
      <c r="M12" s="646" t="s">
        <v>14</v>
      </c>
      <c r="N12" s="635" t="s">
        <v>12</v>
      </c>
      <c r="O12" s="636"/>
      <c r="P12" s="636"/>
      <c r="Q12" s="636"/>
      <c r="R12" s="637"/>
      <c r="S12" s="473"/>
      <c r="T12" s="655" t="s">
        <v>386</v>
      </c>
      <c r="U12" s="473"/>
      <c r="V12" s="473"/>
      <c r="W12" s="635" t="s">
        <v>14</v>
      </c>
      <c r="X12" s="636"/>
      <c r="Y12" s="637"/>
      <c r="Z12" s="473"/>
      <c r="AA12" s="648" t="s">
        <v>12</v>
      </c>
      <c r="AB12" s="649"/>
      <c r="AC12" s="649"/>
      <c r="AD12" s="650"/>
      <c r="AG12" s="216"/>
    </row>
    <row r="13" spans="2:35" s="86" customFormat="1" ht="14.25" customHeight="1">
      <c r="C13" s="629"/>
      <c r="D13" s="627"/>
      <c r="E13" s="475"/>
      <c r="F13" s="473"/>
      <c r="G13" s="654"/>
      <c r="H13" s="472"/>
      <c r="I13" s="473"/>
      <c r="J13" s="654"/>
      <c r="K13" s="654"/>
      <c r="L13" s="473"/>
      <c r="M13" s="654"/>
      <c r="N13" s="641"/>
      <c r="O13" s="642"/>
      <c r="P13" s="642"/>
      <c r="Q13" s="642"/>
      <c r="R13" s="643"/>
      <c r="S13" s="473"/>
      <c r="T13" s="656"/>
      <c r="U13" s="644"/>
      <c r="V13" s="473"/>
      <c r="W13" s="638"/>
      <c r="X13" s="639"/>
      <c r="Y13" s="640"/>
      <c r="Z13" s="473"/>
      <c r="AA13" s="651"/>
      <c r="AB13" s="652"/>
      <c r="AC13" s="652"/>
      <c r="AD13" s="653"/>
      <c r="AG13" s="216"/>
    </row>
    <row r="14" spans="2:35" s="86" customFormat="1" ht="13.5" hidden="1" customHeight="1">
      <c r="C14" s="629"/>
      <c r="D14" s="627"/>
      <c r="E14" s="475"/>
      <c r="F14" s="473"/>
      <c r="G14" s="654"/>
      <c r="H14" s="473"/>
      <c r="I14" s="473"/>
      <c r="J14" s="654"/>
      <c r="K14" s="654"/>
      <c r="L14" s="473"/>
      <c r="M14" s="654"/>
      <c r="N14" s="646" t="s">
        <v>4</v>
      </c>
      <c r="O14" s="646" t="s">
        <v>4</v>
      </c>
      <c r="P14" s="473"/>
      <c r="Q14" s="635" t="s">
        <v>5</v>
      </c>
      <c r="R14" s="637"/>
      <c r="S14" s="473"/>
      <c r="T14" s="656"/>
      <c r="U14" s="645"/>
      <c r="V14" s="473"/>
      <c r="W14" s="638"/>
      <c r="X14" s="639"/>
      <c r="Y14" s="640"/>
      <c r="Z14" s="473"/>
      <c r="AA14" s="644" t="s">
        <v>4</v>
      </c>
      <c r="AB14" s="473"/>
      <c r="AC14" s="473"/>
      <c r="AD14" s="644" t="s">
        <v>5</v>
      </c>
      <c r="AG14" s="216"/>
    </row>
    <row r="15" spans="2:35" s="86" customFormat="1" ht="18" customHeight="1">
      <c r="C15" s="629"/>
      <c r="D15" s="627"/>
      <c r="E15" s="475"/>
      <c r="F15" s="473"/>
      <c r="G15" s="647"/>
      <c r="H15" s="473"/>
      <c r="I15" s="473"/>
      <c r="J15" s="647"/>
      <c r="K15" s="647"/>
      <c r="L15" s="473"/>
      <c r="M15" s="647"/>
      <c r="N15" s="647"/>
      <c r="O15" s="647"/>
      <c r="P15" s="473"/>
      <c r="Q15" s="641"/>
      <c r="R15" s="643"/>
      <c r="S15" s="473"/>
      <c r="T15" s="657"/>
      <c r="U15" s="473"/>
      <c r="V15" s="473"/>
      <c r="W15" s="641"/>
      <c r="X15" s="642"/>
      <c r="Y15" s="643"/>
      <c r="Z15" s="473"/>
      <c r="AA15" s="645"/>
      <c r="AB15" s="473"/>
      <c r="AC15" s="473"/>
      <c r="AD15" s="645"/>
      <c r="AG15" s="216"/>
    </row>
    <row r="16" spans="2:35" ht="15">
      <c r="C16" s="384" t="s">
        <v>15</v>
      </c>
      <c r="D16" s="442" t="s">
        <v>387</v>
      </c>
      <c r="E16" s="385"/>
      <c r="F16" s="87"/>
      <c r="G16" s="176">
        <v>35287000</v>
      </c>
      <c r="H16" s="176"/>
      <c r="I16" s="176"/>
      <c r="J16" s="176">
        <v>283106</v>
      </c>
      <c r="K16" s="176"/>
      <c r="L16" s="176"/>
      <c r="M16" s="176">
        <v>269000</v>
      </c>
      <c r="N16" s="177">
        <v>14106</v>
      </c>
      <c r="O16" s="177"/>
      <c r="P16" s="108"/>
      <c r="Q16" s="182">
        <v>5.2438661710037175</v>
      </c>
      <c r="R16" s="108"/>
      <c r="S16" s="208"/>
      <c r="T16" s="210">
        <v>35071927</v>
      </c>
      <c r="U16" s="176"/>
      <c r="V16" s="177"/>
      <c r="W16" s="213">
        <v>35287000</v>
      </c>
      <c r="X16" s="210"/>
      <c r="Y16" s="176"/>
      <c r="Z16" s="177"/>
      <c r="AA16" s="181">
        <v>-215073</v>
      </c>
      <c r="AB16" s="108"/>
      <c r="AC16" s="108"/>
      <c r="AD16" s="182">
        <v>-0.60949641511038055</v>
      </c>
      <c r="AF16" s="85">
        <v>1</v>
      </c>
      <c r="AG16" s="215" t="str">
        <f>IF(LEN(D16)&lt;3,"",IF(OR(ABS(AD16)&gt;10,ABS(AA16)&gt;10000000,AND(T16&gt;0,W16=0)),"填寫說明",""))</f>
        <v/>
      </c>
    </row>
    <row r="17" spans="3:33" ht="15">
      <c r="C17" s="402" t="s">
        <v>16</v>
      </c>
      <c r="D17" s="442" t="s">
        <v>388</v>
      </c>
      <c r="E17" s="404"/>
      <c r="F17" s="89"/>
      <c r="G17" s="178">
        <v>10000</v>
      </c>
      <c r="H17" s="178"/>
      <c r="I17" s="178"/>
      <c r="J17" s="178">
        <v>18346</v>
      </c>
      <c r="K17" s="179"/>
      <c r="L17" s="179"/>
      <c r="M17" s="179">
        <v>5000</v>
      </c>
      <c r="N17" s="179">
        <v>13346</v>
      </c>
      <c r="O17" s="179"/>
      <c r="P17" s="109"/>
      <c r="Q17" s="111">
        <v>266.92</v>
      </c>
      <c r="R17" s="109"/>
      <c r="S17" s="209"/>
      <c r="T17" s="212">
        <v>23986</v>
      </c>
      <c r="U17" s="179"/>
      <c r="V17" s="179"/>
      <c r="W17" s="214">
        <v>10000</v>
      </c>
      <c r="X17" s="211"/>
      <c r="Y17" s="179"/>
      <c r="Z17" s="179"/>
      <c r="AA17" s="179">
        <v>13986</v>
      </c>
      <c r="AB17" s="109"/>
      <c r="AC17" s="109"/>
      <c r="AD17" s="111">
        <v>139.86000000000001</v>
      </c>
      <c r="AF17" s="85">
        <v>4</v>
      </c>
      <c r="AG17" s="215" t="str">
        <f t="shared" ref="AG17:AG45" si="0">IF(LEN(D17)&lt;3,"",IF(OR(ABS(AD17)&gt;10,ABS(AA17)&gt;10000000,AND(T17&gt;0,W17=0)),"填寫說明",""))</f>
        <v/>
      </c>
    </row>
    <row r="18" spans="3:33" ht="15">
      <c r="C18" s="405" t="s">
        <v>17</v>
      </c>
      <c r="D18" s="442" t="s">
        <v>389</v>
      </c>
      <c r="E18" s="403"/>
      <c r="F18" s="89"/>
      <c r="G18" s="178">
        <v>10000</v>
      </c>
      <c r="H18" s="178"/>
      <c r="I18" s="178"/>
      <c r="J18" s="178">
        <v>18346</v>
      </c>
      <c r="K18" s="179"/>
      <c r="L18" s="179"/>
      <c r="M18" s="179">
        <v>5000</v>
      </c>
      <c r="N18" s="179">
        <v>13346</v>
      </c>
      <c r="O18" s="179"/>
      <c r="P18" s="109"/>
      <c r="Q18" s="111">
        <v>266.92</v>
      </c>
      <c r="R18" s="109"/>
      <c r="S18" s="209"/>
      <c r="T18" s="212">
        <v>23986</v>
      </c>
      <c r="U18" s="179"/>
      <c r="V18" s="179"/>
      <c r="W18" s="214">
        <v>10000</v>
      </c>
      <c r="X18" s="211"/>
      <c r="Y18" s="179"/>
      <c r="Z18" s="179"/>
      <c r="AA18" s="179">
        <v>13986</v>
      </c>
      <c r="AB18" s="109"/>
      <c r="AC18" s="109"/>
      <c r="AD18" s="111">
        <v>139.86000000000001</v>
      </c>
      <c r="AF18" s="85">
        <v>5</v>
      </c>
      <c r="AG18" s="215" t="str">
        <f t="shared" si="0"/>
        <v>填寫說明</v>
      </c>
    </row>
    <row r="19" spans="3:33" ht="15">
      <c r="C19" s="402" t="s">
        <v>18</v>
      </c>
      <c r="D19" s="442" t="s">
        <v>390</v>
      </c>
      <c r="E19" s="404"/>
      <c r="F19" s="89"/>
      <c r="G19" s="178">
        <v>1000</v>
      </c>
      <c r="H19" s="178"/>
      <c r="I19" s="178"/>
      <c r="J19" s="178">
        <v>3679</v>
      </c>
      <c r="K19" s="178"/>
      <c r="L19" s="178"/>
      <c r="M19" s="178">
        <v>1000</v>
      </c>
      <c r="N19" s="179">
        <v>2679</v>
      </c>
      <c r="O19" s="179"/>
      <c r="P19" s="109"/>
      <c r="Q19" s="111">
        <v>267.89999999999998</v>
      </c>
      <c r="R19" s="109"/>
      <c r="S19" s="209"/>
      <c r="T19" s="212">
        <v>9570</v>
      </c>
      <c r="U19" s="178"/>
      <c r="V19" s="179"/>
      <c r="W19" s="214">
        <v>1000</v>
      </c>
      <c r="X19" s="212"/>
      <c r="Y19" s="178"/>
      <c r="Z19" s="179"/>
      <c r="AA19" s="179">
        <v>8570</v>
      </c>
      <c r="AB19" s="109"/>
      <c r="AC19" s="109"/>
      <c r="AD19" s="111">
        <v>857</v>
      </c>
      <c r="AF19" s="85">
        <v>6</v>
      </c>
      <c r="AG19" s="215" t="str">
        <f t="shared" si="0"/>
        <v/>
      </c>
    </row>
    <row r="20" spans="3:33" ht="15">
      <c r="C20" s="405" t="s">
        <v>391</v>
      </c>
      <c r="D20" s="442">
        <v>451</v>
      </c>
      <c r="E20" s="89"/>
      <c r="F20" s="89"/>
      <c r="G20" s="178"/>
      <c r="H20" s="178"/>
      <c r="I20" s="178"/>
      <c r="J20" s="178">
        <v>409</v>
      </c>
      <c r="K20" s="178"/>
      <c r="L20" s="178"/>
      <c r="M20" s="178"/>
      <c r="N20" s="179">
        <v>409</v>
      </c>
      <c r="O20" s="179"/>
      <c r="P20" s="109"/>
      <c r="Q20" s="111"/>
      <c r="R20" s="109"/>
      <c r="S20" s="209"/>
      <c r="T20" s="434">
        <v>1620</v>
      </c>
      <c r="U20" s="178"/>
      <c r="V20" s="179"/>
      <c r="W20" s="434"/>
      <c r="X20" s="212"/>
      <c r="Y20" s="178"/>
      <c r="Z20" s="179"/>
      <c r="AA20" s="179">
        <v>1620</v>
      </c>
      <c r="AB20" s="109"/>
      <c r="AC20" s="109"/>
      <c r="AD20" s="111"/>
      <c r="AF20" s="85">
        <v>7</v>
      </c>
      <c r="AG20" s="215" t="str">
        <f t="shared" si="0"/>
        <v>填寫說明</v>
      </c>
    </row>
    <row r="21" spans="3:33" ht="15">
      <c r="C21" s="405" t="s">
        <v>19</v>
      </c>
      <c r="D21" s="442" t="s">
        <v>392</v>
      </c>
      <c r="E21" s="404"/>
      <c r="F21" s="89"/>
      <c r="G21" s="178">
        <v>1000</v>
      </c>
      <c r="H21" s="178"/>
      <c r="I21" s="178"/>
      <c r="J21" s="178">
        <v>3270</v>
      </c>
      <c r="K21" s="179"/>
      <c r="L21" s="179"/>
      <c r="M21" s="179">
        <v>1000</v>
      </c>
      <c r="N21" s="179">
        <v>2270</v>
      </c>
      <c r="O21" s="179"/>
      <c r="P21" s="109"/>
      <c r="Q21" s="111">
        <v>227</v>
      </c>
      <c r="R21" s="109"/>
      <c r="S21" s="209"/>
      <c r="T21" s="212">
        <v>7950</v>
      </c>
      <c r="U21" s="179"/>
      <c r="V21" s="179"/>
      <c r="W21" s="214">
        <v>1000</v>
      </c>
      <c r="X21" s="212"/>
      <c r="Y21" s="178"/>
      <c r="Z21" s="178"/>
      <c r="AA21" s="178">
        <v>6950</v>
      </c>
      <c r="AB21" s="109"/>
      <c r="AC21" s="111"/>
      <c r="AD21" s="111">
        <v>695</v>
      </c>
      <c r="AF21" s="85">
        <v>8</v>
      </c>
      <c r="AG21" s="215" t="str">
        <f t="shared" si="0"/>
        <v>填寫說明</v>
      </c>
    </row>
    <row r="22" spans="3:33" ht="15">
      <c r="C22" s="402" t="s">
        <v>393</v>
      </c>
      <c r="D22" s="442" t="s">
        <v>394</v>
      </c>
      <c r="E22" s="403"/>
      <c r="F22" s="89"/>
      <c r="G22" s="178">
        <v>35266000</v>
      </c>
      <c r="H22" s="178"/>
      <c r="I22" s="178"/>
      <c r="J22" s="178">
        <v>258000</v>
      </c>
      <c r="K22" s="179"/>
      <c r="L22" s="179"/>
      <c r="M22" s="179">
        <v>258000</v>
      </c>
      <c r="N22" s="179"/>
      <c r="O22" s="179"/>
      <c r="P22" s="109"/>
      <c r="Q22" s="111"/>
      <c r="R22" s="109"/>
      <c r="S22" s="209"/>
      <c r="T22" s="212">
        <v>35023827</v>
      </c>
      <c r="U22" s="179"/>
      <c r="V22" s="179"/>
      <c r="W22" s="214">
        <v>35266000</v>
      </c>
      <c r="X22" s="212"/>
      <c r="Y22" s="178"/>
      <c r="Z22" s="178"/>
      <c r="AA22" s="178">
        <v>-242173</v>
      </c>
      <c r="AB22" s="109"/>
      <c r="AC22" s="111"/>
      <c r="AD22" s="111">
        <v>-0.68670390744626564</v>
      </c>
      <c r="AF22" s="85">
        <v>9</v>
      </c>
      <c r="AG22" s="215" t="str">
        <f t="shared" si="0"/>
        <v/>
      </c>
    </row>
    <row r="23" spans="3:33" ht="15">
      <c r="C23" s="405" t="s">
        <v>21</v>
      </c>
      <c r="D23" s="442" t="s">
        <v>395</v>
      </c>
      <c r="E23" s="404"/>
      <c r="F23" s="89"/>
      <c r="G23" s="178">
        <v>35266000</v>
      </c>
      <c r="H23" s="178"/>
      <c r="I23" s="178"/>
      <c r="J23" s="178">
        <v>258000</v>
      </c>
      <c r="K23" s="178"/>
      <c r="L23" s="178"/>
      <c r="M23" s="178">
        <v>258000</v>
      </c>
      <c r="N23" s="178"/>
      <c r="O23" s="178"/>
      <c r="P23" s="110"/>
      <c r="Q23" s="111"/>
      <c r="R23" s="111"/>
      <c r="S23" s="209"/>
      <c r="T23" s="212">
        <v>35023827</v>
      </c>
      <c r="U23" s="178"/>
      <c r="V23" s="179"/>
      <c r="W23" s="214">
        <v>35266000</v>
      </c>
      <c r="X23" s="212"/>
      <c r="Y23" s="178"/>
      <c r="Z23" s="178"/>
      <c r="AA23" s="178">
        <v>-242173</v>
      </c>
      <c r="AB23" s="109"/>
      <c r="AC23" s="111"/>
      <c r="AD23" s="111">
        <v>-0.68670390744626564</v>
      </c>
      <c r="AF23" s="85">
        <v>10</v>
      </c>
      <c r="AG23" s="215" t="str">
        <f t="shared" si="0"/>
        <v/>
      </c>
    </row>
    <row r="24" spans="3:33" ht="15">
      <c r="C24" s="174" t="s">
        <v>187</v>
      </c>
      <c r="D24" s="442" t="s">
        <v>396</v>
      </c>
      <c r="E24" s="89"/>
      <c r="F24" s="89"/>
      <c r="G24" s="178">
        <v>10000</v>
      </c>
      <c r="H24" s="178"/>
      <c r="I24" s="178"/>
      <c r="J24" s="178">
        <v>3081</v>
      </c>
      <c r="K24" s="178"/>
      <c r="L24" s="178"/>
      <c r="M24" s="178">
        <v>5000</v>
      </c>
      <c r="N24" s="178">
        <v>-1919</v>
      </c>
      <c r="O24" s="178"/>
      <c r="P24" s="110"/>
      <c r="Q24" s="111">
        <v>-38.380000000000003</v>
      </c>
      <c r="R24" s="111"/>
      <c r="S24" s="209"/>
      <c r="T24" s="212">
        <v>14544</v>
      </c>
      <c r="U24" s="178"/>
      <c r="V24" s="179"/>
      <c r="W24" s="214">
        <v>10000</v>
      </c>
      <c r="X24" s="212"/>
      <c r="Y24" s="178"/>
      <c r="Z24" s="178"/>
      <c r="AA24" s="178">
        <v>4544</v>
      </c>
      <c r="AB24" s="109"/>
      <c r="AC24" s="111"/>
      <c r="AD24" s="111">
        <v>45.44</v>
      </c>
      <c r="AF24" s="85">
        <v>11</v>
      </c>
      <c r="AG24" s="215" t="str">
        <f t="shared" si="0"/>
        <v/>
      </c>
    </row>
    <row r="25" spans="3:33" ht="15">
      <c r="C25" s="175" t="s">
        <v>397</v>
      </c>
      <c r="D25" s="442" t="s">
        <v>398</v>
      </c>
      <c r="E25" s="89"/>
      <c r="F25" s="89"/>
      <c r="G25" s="178">
        <v>10000</v>
      </c>
      <c r="H25" s="178"/>
      <c r="I25" s="178"/>
      <c r="J25" s="178">
        <v>3081</v>
      </c>
      <c r="K25" s="178"/>
      <c r="L25" s="178"/>
      <c r="M25" s="178">
        <v>5000</v>
      </c>
      <c r="N25" s="178">
        <v>-1919</v>
      </c>
      <c r="O25" s="178"/>
      <c r="P25" s="110"/>
      <c r="Q25" s="111">
        <v>-38.380000000000003</v>
      </c>
      <c r="R25" s="111"/>
      <c r="S25" s="209"/>
      <c r="T25" s="212">
        <v>14544</v>
      </c>
      <c r="U25" s="178"/>
      <c r="V25" s="179"/>
      <c r="W25" s="214">
        <v>10000</v>
      </c>
      <c r="X25" s="212"/>
      <c r="Y25" s="178"/>
      <c r="Z25" s="178"/>
      <c r="AA25" s="178">
        <v>4544</v>
      </c>
      <c r="AB25" s="109"/>
      <c r="AC25" s="111"/>
      <c r="AD25" s="111">
        <v>45.44</v>
      </c>
      <c r="AF25" s="85">
        <v>12</v>
      </c>
      <c r="AG25" s="215" t="str">
        <f t="shared" si="0"/>
        <v>填寫說明</v>
      </c>
    </row>
    <row r="26" spans="3:33" ht="15">
      <c r="C26" s="170" t="s">
        <v>170</v>
      </c>
      <c r="D26" s="442" t="s">
        <v>399</v>
      </c>
      <c r="E26" s="89"/>
      <c r="F26" s="89"/>
      <c r="G26" s="178">
        <v>36996000</v>
      </c>
      <c r="H26" s="178"/>
      <c r="I26" s="178"/>
      <c r="J26" s="178">
        <v>727768</v>
      </c>
      <c r="K26" s="178"/>
      <c r="L26" s="178"/>
      <c r="M26" s="179">
        <v>269000</v>
      </c>
      <c r="N26" s="178">
        <v>458768</v>
      </c>
      <c r="O26" s="178"/>
      <c r="P26" s="110"/>
      <c r="Q26" s="111">
        <v>170.5457249070632</v>
      </c>
      <c r="R26" s="109"/>
      <c r="S26" s="109"/>
      <c r="T26" s="178">
        <v>35674806</v>
      </c>
      <c r="U26" s="178"/>
      <c r="V26" s="179"/>
      <c r="W26" s="178">
        <v>36996000</v>
      </c>
      <c r="X26" s="178"/>
      <c r="Y26" s="178"/>
      <c r="Z26" s="178"/>
      <c r="AA26" s="178">
        <v>-1321194</v>
      </c>
      <c r="AB26" s="109"/>
      <c r="AC26" s="111"/>
      <c r="AD26" s="111">
        <v>-3.5711806681803444</v>
      </c>
      <c r="AF26" s="85">
        <v>13</v>
      </c>
      <c r="AG26" s="215" t="str">
        <f t="shared" si="0"/>
        <v/>
      </c>
    </row>
    <row r="27" spans="3:33" ht="15">
      <c r="C27" s="174" t="s">
        <v>22</v>
      </c>
      <c r="D27" s="442" t="s">
        <v>400</v>
      </c>
      <c r="E27" s="170"/>
      <c r="F27" s="89"/>
      <c r="G27" s="178">
        <v>36996000</v>
      </c>
      <c r="H27" s="178"/>
      <c r="I27" s="178"/>
      <c r="J27" s="178">
        <v>727768</v>
      </c>
      <c r="K27" s="178"/>
      <c r="L27" s="178"/>
      <c r="M27" s="179">
        <v>269000</v>
      </c>
      <c r="N27" s="178">
        <v>458768</v>
      </c>
      <c r="O27" s="178"/>
      <c r="P27" s="110"/>
      <c r="Q27" s="111">
        <v>170.5457249070632</v>
      </c>
      <c r="R27" s="109"/>
      <c r="S27" s="109"/>
      <c r="T27" s="178">
        <v>35674806</v>
      </c>
      <c r="U27" s="178"/>
      <c r="V27" s="179"/>
      <c r="W27" s="178">
        <v>36996000</v>
      </c>
      <c r="X27" s="178"/>
      <c r="Y27" s="178"/>
      <c r="Z27" s="178"/>
      <c r="AA27" s="178">
        <v>-1321194</v>
      </c>
      <c r="AB27" s="109"/>
      <c r="AC27" s="111"/>
      <c r="AD27" s="111">
        <v>-3.5711806681803444</v>
      </c>
      <c r="AF27" s="85">
        <v>14</v>
      </c>
      <c r="AG27" s="215" t="str">
        <f t="shared" si="0"/>
        <v/>
      </c>
    </row>
    <row r="28" spans="3:33" ht="15">
      <c r="C28" s="175" t="s">
        <v>461</v>
      </c>
      <c r="D28" s="442">
        <v>532</v>
      </c>
      <c r="E28" s="170"/>
      <c r="F28" s="89"/>
      <c r="G28" s="178">
        <v>36996000</v>
      </c>
      <c r="H28" s="178"/>
      <c r="I28" s="178"/>
      <c r="J28" s="178">
        <v>727768</v>
      </c>
      <c r="K28" s="178"/>
      <c r="L28" s="178"/>
      <c r="M28" s="179">
        <v>269000</v>
      </c>
      <c r="N28" s="178">
        <v>458768</v>
      </c>
      <c r="O28" s="178"/>
      <c r="P28" s="110"/>
      <c r="Q28" s="111">
        <v>170.5457249070632</v>
      </c>
      <c r="R28" s="109"/>
      <c r="S28" s="109"/>
      <c r="T28" s="178">
        <v>35674806</v>
      </c>
      <c r="U28" s="178"/>
      <c r="V28" s="179"/>
      <c r="W28" s="178">
        <v>36996000</v>
      </c>
      <c r="X28" s="178"/>
      <c r="Y28" s="178"/>
      <c r="Z28" s="178"/>
      <c r="AA28" s="178">
        <v>-1321194</v>
      </c>
      <c r="AB28" s="109"/>
      <c r="AC28" s="111"/>
      <c r="AD28" s="111">
        <v>-3.5711806681803444</v>
      </c>
      <c r="AF28" s="85">
        <v>15</v>
      </c>
    </row>
    <row r="29" spans="3:33" ht="15">
      <c r="C29" s="170" t="s">
        <v>169</v>
      </c>
      <c r="D29" s="442" t="s">
        <v>401</v>
      </c>
      <c r="E29" s="89"/>
      <c r="F29" s="89"/>
      <c r="G29" s="178">
        <v>-1709000</v>
      </c>
      <c r="H29" s="178"/>
      <c r="I29" s="178"/>
      <c r="J29" s="178">
        <v>-444662</v>
      </c>
      <c r="K29" s="179"/>
      <c r="L29" s="179"/>
      <c r="M29" s="179"/>
      <c r="N29" s="179">
        <v>-444662</v>
      </c>
      <c r="O29" s="179"/>
      <c r="P29" s="109"/>
      <c r="Q29" s="111"/>
      <c r="R29" s="109"/>
      <c r="S29" s="109"/>
      <c r="T29" s="178">
        <v>-602879</v>
      </c>
      <c r="U29" s="178"/>
      <c r="V29" s="179"/>
      <c r="W29" s="178">
        <v>-1709000</v>
      </c>
      <c r="X29" s="178"/>
      <c r="Y29" s="178"/>
      <c r="Z29" s="178"/>
      <c r="AA29" s="178">
        <v>1106121</v>
      </c>
      <c r="AB29" s="109"/>
      <c r="AC29" s="111"/>
      <c r="AD29" s="111">
        <v>-64.723288472791111</v>
      </c>
      <c r="AF29" s="85">
        <v>18</v>
      </c>
      <c r="AG29" s="215" t="str">
        <f t="shared" si="0"/>
        <v/>
      </c>
    </row>
    <row r="30" spans="3:33" ht="15">
      <c r="C30" s="170" t="s">
        <v>24</v>
      </c>
      <c r="D30" s="442" t="s">
        <v>402</v>
      </c>
      <c r="E30" s="89"/>
      <c r="F30" s="89"/>
      <c r="G30" s="178">
        <v>2040762</v>
      </c>
      <c r="H30" s="178"/>
      <c r="I30" s="178"/>
      <c r="J30" s="178"/>
      <c r="K30" s="179"/>
      <c r="L30" s="179"/>
      <c r="M30" s="179"/>
      <c r="N30" s="179"/>
      <c r="O30" s="179"/>
      <c r="P30" s="109"/>
      <c r="Q30" s="111"/>
      <c r="R30" s="109"/>
      <c r="S30" s="109"/>
      <c r="T30" s="178">
        <v>2344442</v>
      </c>
      <c r="U30" s="178"/>
      <c r="V30" s="179"/>
      <c r="W30" s="178">
        <v>2040762</v>
      </c>
      <c r="X30" s="178"/>
      <c r="Y30" s="178"/>
      <c r="Z30" s="178"/>
      <c r="AA30" s="178">
        <v>303680</v>
      </c>
      <c r="AB30" s="109"/>
      <c r="AC30" s="111"/>
      <c r="AD30" s="111">
        <v>14.880716124663241</v>
      </c>
      <c r="AG30" s="215" t="str">
        <f t="shared" si="0"/>
        <v/>
      </c>
    </row>
    <row r="31" spans="3:33" ht="15">
      <c r="C31" s="88" t="s">
        <v>25</v>
      </c>
      <c r="D31" s="442">
        <v>72</v>
      </c>
      <c r="E31" s="89"/>
      <c r="F31" s="89"/>
      <c r="G31" s="178"/>
      <c r="H31" s="178"/>
      <c r="I31" s="178"/>
      <c r="J31" s="178"/>
      <c r="K31" s="179"/>
      <c r="L31" s="179"/>
      <c r="M31" s="179"/>
      <c r="N31" s="179"/>
      <c r="O31" s="179"/>
      <c r="P31" s="109"/>
      <c r="Q31" s="111"/>
      <c r="R31" s="109"/>
      <c r="S31" s="109"/>
      <c r="T31" s="178"/>
      <c r="U31" s="178"/>
      <c r="V31" s="179"/>
      <c r="W31" s="178"/>
      <c r="X31" s="178"/>
      <c r="Y31" s="178"/>
      <c r="Z31" s="178"/>
      <c r="AA31" s="178"/>
      <c r="AB31" s="109"/>
      <c r="AC31" s="111"/>
      <c r="AD31" s="111"/>
      <c r="AG31" s="215" t="str">
        <f t="shared" si="0"/>
        <v/>
      </c>
    </row>
    <row r="32" spans="3:33" ht="15">
      <c r="C32" s="88" t="s">
        <v>26</v>
      </c>
      <c r="D32" s="442" t="s">
        <v>403</v>
      </c>
      <c r="E32" s="89"/>
      <c r="F32" s="89"/>
      <c r="G32" s="178">
        <v>331762</v>
      </c>
      <c r="H32" s="178"/>
      <c r="I32" s="178"/>
      <c r="J32" s="178"/>
      <c r="K32" s="179"/>
      <c r="L32" s="179"/>
      <c r="M32" s="179"/>
      <c r="N32" s="179"/>
      <c r="O32" s="179"/>
      <c r="P32" s="109"/>
      <c r="Q32" s="111"/>
      <c r="R32" s="109"/>
      <c r="S32" s="109"/>
      <c r="T32" s="178">
        <v>1741563</v>
      </c>
      <c r="U32" s="178"/>
      <c r="V32" s="179"/>
      <c r="W32" s="178">
        <v>331762</v>
      </c>
      <c r="X32" s="178"/>
      <c r="Y32" s="178"/>
      <c r="Z32" s="178"/>
      <c r="AA32" s="178">
        <v>1409801</v>
      </c>
      <c r="AB32" s="109"/>
      <c r="AC32" s="111"/>
      <c r="AD32" s="111">
        <v>424.94348358160374</v>
      </c>
      <c r="AG32" s="215" t="str">
        <f t="shared" si="0"/>
        <v/>
      </c>
    </row>
    <row r="33" spans="2:33" ht="15" hidden="1" customHeight="1">
      <c r="C33" s="88"/>
      <c r="D33" s="443"/>
      <c r="E33" s="89"/>
      <c r="F33" s="89"/>
      <c r="G33" s="179"/>
      <c r="H33" s="179"/>
      <c r="I33" s="179"/>
      <c r="J33" s="179"/>
      <c r="K33" s="179"/>
      <c r="L33" s="179"/>
      <c r="M33" s="179"/>
      <c r="N33" s="179"/>
      <c r="O33" s="179"/>
      <c r="P33" s="109"/>
      <c r="Q33" s="109"/>
      <c r="R33" s="109"/>
      <c r="S33" s="109"/>
      <c r="T33" s="179"/>
      <c r="U33" s="179"/>
      <c r="V33" s="179"/>
      <c r="W33" s="179"/>
      <c r="X33" s="179"/>
      <c r="Y33" s="179"/>
      <c r="Z33" s="179"/>
      <c r="AA33" s="179"/>
      <c r="AB33" s="109"/>
      <c r="AC33" s="109"/>
      <c r="AD33" s="109"/>
      <c r="AG33" s="215" t="str">
        <f t="shared" si="0"/>
        <v/>
      </c>
    </row>
    <row r="34" spans="2:33" ht="15" hidden="1" customHeight="1">
      <c r="C34" s="88"/>
      <c r="D34" s="443"/>
      <c r="E34" s="89"/>
      <c r="F34" s="89"/>
      <c r="G34" s="179"/>
      <c r="H34" s="179"/>
      <c r="I34" s="179"/>
      <c r="J34" s="179"/>
      <c r="K34" s="179"/>
      <c r="L34" s="179"/>
      <c r="M34" s="179"/>
      <c r="N34" s="179"/>
      <c r="O34" s="179"/>
      <c r="P34" s="109"/>
      <c r="Q34" s="109"/>
      <c r="R34" s="109"/>
      <c r="S34" s="109"/>
      <c r="T34" s="179"/>
      <c r="U34" s="179"/>
      <c r="V34" s="179"/>
      <c r="W34" s="179"/>
      <c r="X34" s="179"/>
      <c r="Y34" s="179"/>
      <c r="Z34" s="179"/>
      <c r="AA34" s="179"/>
      <c r="AB34" s="109"/>
      <c r="AC34" s="109"/>
      <c r="AD34" s="109"/>
      <c r="AG34" s="215" t="str">
        <f t="shared" si="0"/>
        <v/>
      </c>
    </row>
    <row r="35" spans="2:33" ht="15" hidden="1" customHeight="1">
      <c r="C35" s="88"/>
      <c r="D35" s="443"/>
      <c r="E35" s="89"/>
      <c r="F35" s="89"/>
      <c r="G35" s="179"/>
      <c r="H35" s="179"/>
      <c r="I35" s="179"/>
      <c r="J35" s="179"/>
      <c r="K35" s="179"/>
      <c r="L35" s="179"/>
      <c r="M35" s="179"/>
      <c r="N35" s="179"/>
      <c r="O35" s="179"/>
      <c r="P35" s="109"/>
      <c r="Q35" s="109"/>
      <c r="R35" s="109"/>
      <c r="S35" s="109"/>
      <c r="T35" s="179"/>
      <c r="U35" s="179"/>
      <c r="V35" s="179"/>
      <c r="W35" s="179"/>
      <c r="X35" s="179"/>
      <c r="Y35" s="179"/>
      <c r="Z35" s="179"/>
      <c r="AA35" s="179"/>
      <c r="AB35" s="109"/>
      <c r="AC35" s="109"/>
      <c r="AD35" s="109"/>
      <c r="AG35" s="215" t="str">
        <f t="shared" si="0"/>
        <v/>
      </c>
    </row>
    <row r="36" spans="2:33" ht="15" hidden="1" customHeight="1">
      <c r="C36" s="88"/>
      <c r="D36" s="443"/>
      <c r="E36" s="89"/>
      <c r="F36" s="89"/>
      <c r="G36" s="179"/>
      <c r="H36" s="179"/>
      <c r="I36" s="179"/>
      <c r="J36" s="179"/>
      <c r="K36" s="179"/>
      <c r="L36" s="179"/>
      <c r="M36" s="179"/>
      <c r="N36" s="179"/>
      <c r="O36" s="179"/>
      <c r="P36" s="109"/>
      <c r="Q36" s="109"/>
      <c r="R36" s="109"/>
      <c r="S36" s="109"/>
      <c r="T36" s="179"/>
      <c r="U36" s="179"/>
      <c r="V36" s="179"/>
      <c r="W36" s="179"/>
      <c r="X36" s="179"/>
      <c r="Y36" s="179"/>
      <c r="Z36" s="179"/>
      <c r="AA36" s="179"/>
      <c r="AB36" s="109"/>
      <c r="AC36" s="109"/>
      <c r="AD36" s="109"/>
      <c r="AG36" s="215" t="str">
        <f t="shared" si="0"/>
        <v/>
      </c>
    </row>
    <row r="37" spans="2:33" ht="15" hidden="1" customHeight="1">
      <c r="C37" s="88"/>
      <c r="D37" s="443"/>
      <c r="E37" s="89"/>
      <c r="F37" s="89"/>
      <c r="G37" s="179"/>
      <c r="H37" s="179"/>
      <c r="I37" s="179"/>
      <c r="J37" s="179"/>
      <c r="K37" s="179"/>
      <c r="L37" s="179"/>
      <c r="M37" s="179"/>
      <c r="N37" s="179"/>
      <c r="O37" s="179"/>
      <c r="P37" s="109"/>
      <c r="Q37" s="109"/>
      <c r="R37" s="109"/>
      <c r="S37" s="109"/>
      <c r="T37" s="179"/>
      <c r="U37" s="179"/>
      <c r="V37" s="179"/>
      <c r="W37" s="179"/>
      <c r="X37" s="179"/>
      <c r="Y37" s="179"/>
      <c r="Z37" s="179"/>
      <c r="AA37" s="179"/>
      <c r="AB37" s="109"/>
      <c r="AC37" s="109"/>
      <c r="AD37" s="109"/>
      <c r="AG37" s="215" t="str">
        <f t="shared" si="0"/>
        <v/>
      </c>
    </row>
    <row r="38" spans="2:33" ht="15" hidden="1" customHeight="1">
      <c r="C38" s="88"/>
      <c r="D38" s="443"/>
      <c r="E38" s="89"/>
      <c r="F38" s="89"/>
      <c r="G38" s="179"/>
      <c r="H38" s="179"/>
      <c r="I38" s="179"/>
      <c r="J38" s="179"/>
      <c r="K38" s="179"/>
      <c r="L38" s="179"/>
      <c r="M38" s="179"/>
      <c r="N38" s="179"/>
      <c r="O38" s="179"/>
      <c r="P38" s="109"/>
      <c r="Q38" s="109"/>
      <c r="R38" s="109"/>
      <c r="S38" s="109"/>
      <c r="T38" s="179"/>
      <c r="U38" s="179"/>
      <c r="V38" s="179"/>
      <c r="W38" s="179"/>
      <c r="X38" s="179"/>
      <c r="Y38" s="179"/>
      <c r="Z38" s="179"/>
      <c r="AA38" s="179"/>
      <c r="AB38" s="109"/>
      <c r="AC38" s="109"/>
      <c r="AD38" s="109"/>
      <c r="AG38" s="215" t="str">
        <f t="shared" si="0"/>
        <v/>
      </c>
    </row>
    <row r="39" spans="2:33" ht="15" hidden="1" customHeight="1">
      <c r="C39" s="88"/>
      <c r="D39" s="443"/>
      <c r="E39" s="89"/>
      <c r="F39" s="89"/>
      <c r="G39" s="179"/>
      <c r="H39" s="179"/>
      <c r="I39" s="179"/>
      <c r="J39" s="179"/>
      <c r="K39" s="179"/>
      <c r="L39" s="179"/>
      <c r="M39" s="179"/>
      <c r="N39" s="179"/>
      <c r="O39" s="179"/>
      <c r="P39" s="109"/>
      <c r="Q39" s="109"/>
      <c r="R39" s="109"/>
      <c r="S39" s="109"/>
      <c r="T39" s="179"/>
      <c r="U39" s="179"/>
      <c r="V39" s="179"/>
      <c r="W39" s="179"/>
      <c r="X39" s="179"/>
      <c r="Y39" s="179"/>
      <c r="Z39" s="179"/>
      <c r="AA39" s="179"/>
      <c r="AB39" s="109"/>
      <c r="AC39" s="109"/>
      <c r="AD39" s="109"/>
      <c r="AG39" s="215" t="str">
        <f t="shared" si="0"/>
        <v/>
      </c>
    </row>
    <row r="40" spans="2:33" ht="15" hidden="1" customHeight="1">
      <c r="C40" s="88"/>
      <c r="D40" s="443"/>
      <c r="E40" s="89"/>
      <c r="F40" s="89"/>
      <c r="G40" s="179"/>
      <c r="H40" s="179"/>
      <c r="I40" s="179"/>
      <c r="J40" s="179"/>
      <c r="K40" s="179"/>
      <c r="L40" s="179"/>
      <c r="M40" s="179"/>
      <c r="N40" s="179"/>
      <c r="O40" s="179"/>
      <c r="P40" s="109"/>
      <c r="Q40" s="109"/>
      <c r="R40" s="109"/>
      <c r="S40" s="109"/>
      <c r="T40" s="179"/>
      <c r="U40" s="179"/>
      <c r="V40" s="179"/>
      <c r="W40" s="179"/>
      <c r="X40" s="179"/>
      <c r="Y40" s="179"/>
      <c r="Z40" s="179"/>
      <c r="AA40" s="179"/>
      <c r="AB40" s="109"/>
      <c r="AC40" s="109"/>
      <c r="AD40" s="109"/>
      <c r="AG40" s="215" t="str">
        <f t="shared" si="0"/>
        <v/>
      </c>
    </row>
    <row r="41" spans="2:33" ht="15" hidden="1" customHeight="1">
      <c r="C41" s="88"/>
      <c r="D41" s="443"/>
      <c r="E41" s="89"/>
      <c r="F41" s="89"/>
      <c r="G41" s="179"/>
      <c r="H41" s="179"/>
      <c r="I41" s="179"/>
      <c r="J41" s="179"/>
      <c r="K41" s="179"/>
      <c r="L41" s="179"/>
      <c r="M41" s="179"/>
      <c r="N41" s="179"/>
      <c r="O41" s="179"/>
      <c r="P41" s="109"/>
      <c r="Q41" s="109"/>
      <c r="R41" s="109"/>
      <c r="S41" s="109"/>
      <c r="T41" s="179"/>
      <c r="U41" s="179"/>
      <c r="V41" s="179"/>
      <c r="W41" s="179"/>
      <c r="X41" s="179"/>
      <c r="Y41" s="179"/>
      <c r="Z41" s="179"/>
      <c r="AA41" s="179"/>
      <c r="AB41" s="109"/>
      <c r="AC41" s="109"/>
      <c r="AD41" s="109"/>
      <c r="AG41" s="215" t="str">
        <f t="shared" si="0"/>
        <v/>
      </c>
    </row>
    <row r="42" spans="2:33" ht="15" hidden="1" customHeight="1">
      <c r="C42" s="88"/>
      <c r="D42" s="443"/>
      <c r="E42" s="89"/>
      <c r="F42" s="89"/>
      <c r="G42" s="179"/>
      <c r="H42" s="179"/>
      <c r="I42" s="179"/>
      <c r="J42" s="179"/>
      <c r="K42" s="179"/>
      <c r="L42" s="179"/>
      <c r="M42" s="179"/>
      <c r="N42" s="179"/>
      <c r="O42" s="179"/>
      <c r="P42" s="109"/>
      <c r="Q42" s="109"/>
      <c r="R42" s="109"/>
      <c r="S42" s="109"/>
      <c r="T42" s="179"/>
      <c r="U42" s="179"/>
      <c r="V42" s="179"/>
      <c r="W42" s="179"/>
      <c r="X42" s="179"/>
      <c r="Y42" s="179"/>
      <c r="Z42" s="179"/>
      <c r="AA42" s="179"/>
      <c r="AB42" s="109"/>
      <c r="AC42" s="109"/>
      <c r="AD42" s="109"/>
      <c r="AG42" s="215" t="str">
        <f t="shared" si="0"/>
        <v/>
      </c>
    </row>
    <row r="43" spans="2:33" ht="15" hidden="1" customHeight="1">
      <c r="C43" s="88"/>
      <c r="D43" s="443"/>
      <c r="E43" s="89"/>
      <c r="F43" s="89"/>
      <c r="G43" s="179"/>
      <c r="H43" s="179"/>
      <c r="I43" s="179"/>
      <c r="J43" s="179"/>
      <c r="K43" s="179"/>
      <c r="L43" s="179"/>
      <c r="M43" s="179"/>
      <c r="N43" s="179"/>
      <c r="O43" s="179"/>
      <c r="P43" s="109"/>
      <c r="Q43" s="109"/>
      <c r="R43" s="109"/>
      <c r="S43" s="109"/>
      <c r="T43" s="179"/>
      <c r="U43" s="179"/>
      <c r="V43" s="179"/>
      <c r="W43" s="179"/>
      <c r="X43" s="179"/>
      <c r="Y43" s="179"/>
      <c r="Z43" s="179"/>
      <c r="AA43" s="179"/>
      <c r="AB43" s="109"/>
      <c r="AC43" s="109"/>
      <c r="AD43" s="109"/>
      <c r="AG43" s="215" t="str">
        <f t="shared" si="0"/>
        <v/>
      </c>
    </row>
    <row r="44" spans="2:33" ht="15">
      <c r="C44" s="88"/>
      <c r="D44" s="443"/>
      <c r="E44" s="89"/>
      <c r="F44" s="89"/>
      <c r="G44" s="179"/>
      <c r="H44" s="179"/>
      <c r="I44" s="179"/>
      <c r="J44" s="179"/>
      <c r="K44" s="179"/>
      <c r="L44" s="179"/>
      <c r="M44" s="179"/>
      <c r="N44" s="179"/>
      <c r="O44" s="179"/>
      <c r="P44" s="109"/>
      <c r="Q44" s="109"/>
      <c r="R44" s="109"/>
      <c r="S44" s="109"/>
      <c r="T44" s="179"/>
      <c r="U44" s="179"/>
      <c r="V44" s="179"/>
      <c r="W44" s="179"/>
      <c r="X44" s="179"/>
      <c r="Y44" s="179"/>
      <c r="Z44" s="179"/>
      <c r="AA44" s="179"/>
      <c r="AB44" s="109"/>
      <c r="AC44" s="109"/>
      <c r="AD44" s="109"/>
      <c r="AG44" s="215" t="str">
        <f t="shared" si="0"/>
        <v/>
      </c>
    </row>
    <row r="45" spans="2:33" ht="15">
      <c r="C45" s="172"/>
      <c r="D45" s="444"/>
      <c r="E45" s="173"/>
      <c r="F45" s="173"/>
      <c r="G45" s="180"/>
      <c r="H45" s="180"/>
      <c r="I45" s="180"/>
      <c r="J45" s="180"/>
      <c r="K45" s="180"/>
      <c r="L45" s="180"/>
      <c r="M45" s="180"/>
      <c r="N45" s="180"/>
      <c r="O45" s="180"/>
      <c r="P45" s="112"/>
      <c r="Q45" s="112"/>
      <c r="R45" s="112"/>
      <c r="S45" s="112"/>
      <c r="T45" s="180"/>
      <c r="U45" s="180"/>
      <c r="V45" s="180"/>
      <c r="W45" s="180"/>
      <c r="X45" s="180"/>
      <c r="Y45" s="180"/>
      <c r="Z45" s="180"/>
      <c r="AA45" s="180"/>
      <c r="AB45" s="112"/>
      <c r="AC45" s="112"/>
      <c r="AD45" s="112"/>
      <c r="AG45" s="215" t="str">
        <f t="shared" si="0"/>
        <v/>
      </c>
    </row>
    <row r="46" spans="2:33" ht="7.5" customHeight="1"/>
    <row r="47" spans="2:33" ht="12" customHeight="1">
      <c r="B47" s="171"/>
    </row>
    <row r="48" spans="2:33" ht="43.5" customHeight="1"/>
  </sheetData>
  <sortState ref="A16:AM49">
    <sortCondition ref="AF16:AF49"/>
  </sortState>
  <mergeCells count="24">
    <mergeCell ref="U13:U14"/>
    <mergeCell ref="K12:K15"/>
    <mergeCell ref="T12:T15"/>
    <mergeCell ref="M12:M15"/>
    <mergeCell ref="J9:Q10"/>
    <mergeCell ref="J12:J15"/>
    <mergeCell ref="N12:R13"/>
    <mergeCell ref="N14:N15"/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</mergeCells>
  <phoneticPr fontId="10" type="noConversion"/>
  <conditionalFormatting sqref="T16:T25">
    <cfRule type="expression" dxfId="15" priority="12">
      <formula>AND(T16&gt;0,W16=0)</formula>
    </cfRule>
  </conditionalFormatting>
  <conditionalFormatting sqref="T20">
    <cfRule type="expression" dxfId="14" priority="7">
      <formula>AND(T20&gt;0,W20=0)</formula>
    </cfRule>
  </conditionalFormatting>
  <conditionalFormatting sqref="W20">
    <cfRule type="expression" dxfId="13" priority="6">
      <formula>AND(W20&gt;0,Z20=0)</formula>
    </cfRule>
  </conditionalFormatting>
  <conditionalFormatting sqref="W20">
    <cfRule type="expression" dxfId="12" priority="5">
      <formula>AND(W20&gt;0,Z20=0)</formula>
    </cfRule>
  </conditionalFormatting>
  <conditionalFormatting sqref="T16:T25">
    <cfRule type="expression" dxfId="11" priority="4">
      <formula>AND(T16&gt;0,W16=0)</formula>
    </cfRule>
  </conditionalFormatting>
  <conditionalFormatting sqref="T20">
    <cfRule type="expression" dxfId="10" priority="3">
      <formula>AND(T20&gt;0,W20=0)</formula>
    </cfRule>
  </conditionalFormatting>
  <conditionalFormatting sqref="W20">
    <cfRule type="expression" dxfId="9" priority="2">
      <formula>AND(W20&gt;0,Z20=0)</formula>
    </cfRule>
  </conditionalFormatting>
  <conditionalFormatting sqref="W20">
    <cfRule type="expression" dxfId="8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43"/>
  <sheetViews>
    <sheetView showGridLines="0" showZeros="0" showOutlineSymbols="0" view="pageBreakPreview" topLeftCell="A6" zoomScaleSheetLayoutView="100" workbookViewId="0">
      <selection activeCell="H31" sqref="H31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570312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8.85546875" customWidth="1"/>
    <col min="18" max="19" width="8.85546875" hidden="1" customWidth="1"/>
    <col min="20" max="20" width="6.5703125" customWidth="1"/>
    <col min="21" max="21" width="6.28515625" customWidth="1"/>
    <col min="22" max="22" width="9" customWidth="1"/>
  </cols>
  <sheetData>
    <row r="1" spans="1:22" ht="15" hidden="1" customHeight="1"/>
    <row r="2" spans="1:22" ht="21">
      <c r="A2" s="676" t="str">
        <f>封面!$A$4</f>
        <v>彰化縣地方教育發展基金－彰化縣秀水鄉馬興國民小學</v>
      </c>
      <c r="B2" s="676"/>
      <c r="C2" s="676"/>
      <c r="D2" s="676"/>
      <c r="E2" s="676"/>
      <c r="F2" s="676"/>
      <c r="G2" s="676"/>
      <c r="H2" s="676"/>
      <c r="I2" s="676"/>
      <c r="J2" s="676"/>
      <c r="K2" s="676"/>
      <c r="L2" s="676"/>
      <c r="M2" s="676"/>
      <c r="N2" s="676"/>
      <c r="O2" s="676"/>
      <c r="P2" s="676"/>
      <c r="Q2" s="676"/>
      <c r="R2" s="676"/>
      <c r="S2" s="676"/>
      <c r="T2" s="676"/>
      <c r="U2" s="676"/>
      <c r="V2" s="676"/>
    </row>
    <row r="3" spans="1:22" ht="21">
      <c r="A3" s="678" t="s">
        <v>0</v>
      </c>
      <c r="B3" s="678"/>
      <c r="C3" s="678"/>
      <c r="D3" s="678"/>
      <c r="E3" s="678"/>
      <c r="F3" s="678"/>
      <c r="G3" s="678"/>
      <c r="H3" s="678"/>
      <c r="I3" s="678"/>
      <c r="J3" s="678"/>
      <c r="K3" s="678"/>
      <c r="L3" s="678"/>
      <c r="M3" s="678"/>
      <c r="N3" s="678"/>
      <c r="O3" s="678"/>
      <c r="P3" s="678"/>
      <c r="Q3" s="678"/>
      <c r="R3" s="678"/>
      <c r="S3" s="678"/>
      <c r="T3" s="678"/>
      <c r="U3" s="678"/>
      <c r="V3" s="678"/>
    </row>
    <row r="4" spans="1:22" ht="19.5">
      <c r="A4" s="679" t="str">
        <f>封面!$E$10&amp;封面!$H$10&amp;封面!$I$10&amp;封面!$J$10&amp;封面!$K$10&amp;封面!$O$10&amp;"日"</f>
        <v>中華民國111年12月31日</v>
      </c>
      <c r="B4" s="679"/>
      <c r="C4" s="679"/>
      <c r="D4" s="679"/>
      <c r="E4" s="679"/>
      <c r="F4" s="679"/>
      <c r="G4" s="679"/>
      <c r="H4" s="679"/>
      <c r="I4" s="679"/>
      <c r="J4" s="679"/>
      <c r="K4" s="679"/>
      <c r="L4" s="679"/>
      <c r="M4" s="679"/>
      <c r="N4" s="679"/>
      <c r="O4" s="679"/>
      <c r="P4" s="679"/>
      <c r="Q4" s="679"/>
      <c r="R4" s="679"/>
      <c r="S4" s="679"/>
      <c r="T4" s="679"/>
      <c r="U4" s="679"/>
      <c r="V4" s="679"/>
    </row>
    <row r="5" spans="1:22" ht="2.25" customHeight="1"/>
    <row r="6" spans="1:22" ht="15.75" customHeight="1">
      <c r="A6" s="677" t="s">
        <v>1</v>
      </c>
      <c r="B6" s="677"/>
      <c r="C6" s="677"/>
      <c r="D6" s="677"/>
      <c r="E6" s="677"/>
      <c r="F6" s="677"/>
      <c r="G6" s="677"/>
      <c r="H6" s="677"/>
      <c r="I6" s="677"/>
      <c r="J6" s="677"/>
      <c r="K6" s="677"/>
      <c r="L6" s="677"/>
      <c r="M6" s="677"/>
      <c r="N6" s="677"/>
      <c r="O6" s="677"/>
      <c r="P6" s="677"/>
      <c r="Q6" s="677"/>
      <c r="R6" s="677"/>
      <c r="S6" s="677"/>
      <c r="T6" s="677"/>
      <c r="U6" s="677"/>
      <c r="V6" s="677"/>
    </row>
    <row r="7" spans="1:22" ht="2.25" customHeight="1">
      <c r="A7" s="2"/>
      <c r="B7" s="2"/>
      <c r="C7" s="2"/>
      <c r="D7" s="2"/>
      <c r="E7" s="2"/>
      <c r="F7" s="2"/>
      <c r="G7" s="347"/>
      <c r="K7" s="2"/>
      <c r="L7" s="2"/>
      <c r="M7" s="2"/>
      <c r="N7" s="2"/>
      <c r="O7" s="2"/>
      <c r="P7" s="2"/>
      <c r="Q7" s="2"/>
      <c r="R7" s="347"/>
      <c r="S7" s="347"/>
      <c r="T7" s="347"/>
    </row>
    <row r="8" spans="1:22" ht="4.5" hidden="1" customHeight="1">
      <c r="A8" s="665" t="s">
        <v>2</v>
      </c>
      <c r="B8" s="665"/>
      <c r="C8" s="665"/>
      <c r="D8" s="665"/>
      <c r="E8" s="665"/>
      <c r="F8" s="665"/>
      <c r="G8" s="337"/>
      <c r="H8" s="1"/>
      <c r="I8" s="1"/>
      <c r="J8" s="462"/>
      <c r="K8" s="680" t="s">
        <v>3</v>
      </c>
      <c r="L8" s="680"/>
      <c r="M8" s="680"/>
      <c r="N8" s="680"/>
      <c r="O8" s="680"/>
      <c r="P8" s="680"/>
      <c r="Q8" s="681"/>
      <c r="R8" s="337"/>
      <c r="S8" s="337"/>
      <c r="T8" s="337"/>
      <c r="U8" s="1"/>
      <c r="V8" s="1"/>
    </row>
    <row r="9" spans="1:22" ht="18" customHeight="1">
      <c r="A9" s="665"/>
      <c r="B9" s="665"/>
      <c r="C9" s="665"/>
      <c r="D9" s="665"/>
      <c r="E9" s="665"/>
      <c r="F9" s="665"/>
      <c r="G9" s="337"/>
      <c r="H9" s="665" t="s">
        <v>4</v>
      </c>
      <c r="I9" s="665" t="s">
        <v>5</v>
      </c>
      <c r="J9" s="462"/>
      <c r="K9" s="680"/>
      <c r="L9" s="680"/>
      <c r="M9" s="680"/>
      <c r="N9" s="680"/>
      <c r="O9" s="680"/>
      <c r="P9" s="680"/>
      <c r="Q9" s="681"/>
      <c r="R9" s="337"/>
      <c r="S9" s="337"/>
      <c r="T9" s="661" t="s">
        <v>4</v>
      </c>
      <c r="U9" s="662"/>
      <c r="V9" s="665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665"/>
      <c r="I10" s="665"/>
      <c r="J10" s="1"/>
      <c r="K10" s="1"/>
      <c r="L10" s="1"/>
      <c r="M10" s="1"/>
      <c r="N10" s="1"/>
      <c r="O10" s="1"/>
      <c r="P10" s="1"/>
      <c r="Q10" s="1"/>
      <c r="R10" s="1"/>
      <c r="S10" s="1"/>
      <c r="T10" s="663"/>
      <c r="U10" s="663"/>
      <c r="V10" s="665"/>
    </row>
    <row r="11" spans="1:22" ht="18" customHeight="1">
      <c r="A11" s="665" t="s">
        <v>6</v>
      </c>
      <c r="B11" s="665"/>
      <c r="C11" s="665"/>
      <c r="D11" s="665"/>
      <c r="E11" s="665"/>
      <c r="F11" s="665" t="s">
        <v>7</v>
      </c>
      <c r="G11" s="337"/>
      <c r="H11" s="665"/>
      <c r="I11" s="665"/>
      <c r="J11" s="462"/>
      <c r="K11" s="680" t="s">
        <v>6</v>
      </c>
      <c r="L11" s="680"/>
      <c r="M11" s="680"/>
      <c r="N11" s="680"/>
      <c r="O11" s="681"/>
      <c r="P11" s="337"/>
      <c r="Q11" s="665" t="s">
        <v>7</v>
      </c>
      <c r="R11" s="337"/>
      <c r="S11" s="337"/>
      <c r="T11" s="664"/>
      <c r="U11" s="664"/>
      <c r="V11" s="665"/>
    </row>
    <row r="12" spans="1:22" ht="14.25" hidden="1">
      <c r="A12" s="665"/>
      <c r="B12" s="665"/>
      <c r="C12" s="665"/>
      <c r="D12" s="665"/>
      <c r="E12" s="665"/>
      <c r="F12" s="665"/>
      <c r="G12" s="337"/>
      <c r="H12" s="1"/>
      <c r="I12" s="1"/>
      <c r="J12" s="462"/>
      <c r="K12" s="680"/>
      <c r="L12" s="680"/>
      <c r="M12" s="680"/>
      <c r="N12" s="680"/>
      <c r="O12" s="681"/>
      <c r="P12" s="337"/>
      <c r="Q12" s="665"/>
      <c r="R12" s="337"/>
      <c r="S12" s="337"/>
      <c r="T12" s="337"/>
      <c r="U12" s="1"/>
      <c r="V12" s="1"/>
    </row>
    <row r="13" spans="1:22" ht="14.25">
      <c r="A13" s="123" t="s">
        <v>465</v>
      </c>
      <c r="B13" s="124"/>
      <c r="C13" s="400"/>
      <c r="D13" s="400"/>
      <c r="E13" s="401"/>
      <c r="F13" s="126" t="s">
        <v>466</v>
      </c>
      <c r="G13" s="126"/>
      <c r="H13" s="127">
        <v>51916595</v>
      </c>
      <c r="I13" s="333">
        <v>100</v>
      </c>
      <c r="J13" s="463"/>
      <c r="K13" s="124" t="s">
        <v>509</v>
      </c>
      <c r="L13" s="124"/>
      <c r="M13" s="124"/>
      <c r="N13" s="124"/>
      <c r="O13" s="125"/>
      <c r="P13" s="125"/>
      <c r="Q13" s="128" t="s">
        <v>519</v>
      </c>
      <c r="R13" s="126"/>
      <c r="S13" s="126"/>
      <c r="T13" s="674">
        <v>9136763</v>
      </c>
      <c r="U13" s="675"/>
      <c r="V13" s="506">
        <v>17.598925738484969</v>
      </c>
    </row>
    <row r="14" spans="1:22" ht="14.25">
      <c r="A14" s="346"/>
      <c r="B14" s="130" t="s">
        <v>467</v>
      </c>
      <c r="C14" s="382"/>
      <c r="D14" s="382"/>
      <c r="E14" s="383"/>
      <c r="F14" s="136" t="s">
        <v>468</v>
      </c>
      <c r="G14" s="136"/>
      <c r="H14" s="133">
        <v>10878326</v>
      </c>
      <c r="I14" s="334">
        <v>20.953465842665533</v>
      </c>
      <c r="J14" s="140"/>
      <c r="K14" s="130"/>
      <c r="L14" s="130" t="s">
        <v>510</v>
      </c>
      <c r="M14" s="130"/>
      <c r="N14" s="130"/>
      <c r="O14" s="131"/>
      <c r="P14" s="131"/>
      <c r="Q14" s="134" t="s">
        <v>520</v>
      </c>
      <c r="R14" s="136"/>
      <c r="S14" s="136"/>
      <c r="T14" s="670">
        <v>5258559</v>
      </c>
      <c r="U14" s="671"/>
      <c r="V14" s="507">
        <v>10.128859567928135</v>
      </c>
    </row>
    <row r="15" spans="1:22" ht="14.25">
      <c r="A15" s="346"/>
      <c r="B15" s="130"/>
      <c r="C15" s="382" t="s">
        <v>469</v>
      </c>
      <c r="D15" s="382"/>
      <c r="E15" s="383"/>
      <c r="F15" s="136" t="s">
        <v>470</v>
      </c>
      <c r="G15" s="136"/>
      <c r="H15" s="133">
        <v>10878326</v>
      </c>
      <c r="I15" s="334">
        <v>20.953465842665533</v>
      </c>
      <c r="J15" s="140"/>
      <c r="K15" s="130"/>
      <c r="L15" s="130"/>
      <c r="M15" s="130" t="s">
        <v>511</v>
      </c>
      <c r="N15" s="130"/>
      <c r="O15" s="131"/>
      <c r="P15" s="131"/>
      <c r="Q15" s="134" t="s">
        <v>521</v>
      </c>
      <c r="R15" s="136"/>
      <c r="S15" s="136"/>
      <c r="T15" s="670">
        <v>5258559</v>
      </c>
      <c r="U15" s="671"/>
      <c r="V15" s="507">
        <v>10.128859567928135</v>
      </c>
    </row>
    <row r="16" spans="1:22" ht="14.25">
      <c r="A16" s="346"/>
      <c r="B16" s="130"/>
      <c r="C16" s="382"/>
      <c r="D16" s="382" t="s">
        <v>471</v>
      </c>
      <c r="E16" s="383"/>
      <c r="F16" s="136" t="s">
        <v>472</v>
      </c>
      <c r="G16" s="136"/>
      <c r="H16" s="133">
        <v>10878326</v>
      </c>
      <c r="I16" s="334">
        <v>20.953465842665533</v>
      </c>
      <c r="J16" s="140"/>
      <c r="K16" s="130"/>
      <c r="L16" s="130"/>
      <c r="M16" s="130"/>
      <c r="N16" s="130" t="s">
        <v>512</v>
      </c>
      <c r="O16" s="131"/>
      <c r="P16" s="131"/>
      <c r="Q16" s="134" t="s">
        <v>522</v>
      </c>
      <c r="R16" s="136"/>
      <c r="S16" s="136"/>
      <c r="T16" s="670">
        <v>5116639</v>
      </c>
      <c r="U16" s="671"/>
      <c r="V16" s="507">
        <v>9.8554980348769021</v>
      </c>
    </row>
    <row r="17" spans="1:22" ht="14.25">
      <c r="A17" s="346"/>
      <c r="B17" s="130"/>
      <c r="C17" s="382"/>
      <c r="D17" s="382"/>
      <c r="E17" s="383" t="s">
        <v>473</v>
      </c>
      <c r="F17" s="136" t="s">
        <v>474</v>
      </c>
      <c r="G17" s="136"/>
      <c r="H17" s="133">
        <v>1883483</v>
      </c>
      <c r="I17" s="334">
        <v>3.6279016372317945</v>
      </c>
      <c r="J17" s="140"/>
      <c r="K17" s="130"/>
      <c r="L17" s="130"/>
      <c r="M17" s="130"/>
      <c r="N17" s="130" t="s">
        <v>513</v>
      </c>
      <c r="O17" s="131"/>
      <c r="P17" s="131"/>
      <c r="Q17" s="134" t="s">
        <v>523</v>
      </c>
      <c r="R17" s="136"/>
      <c r="S17" s="136"/>
      <c r="T17" s="670">
        <v>141920</v>
      </c>
      <c r="U17" s="671"/>
      <c r="V17" s="507">
        <v>0.27336153305123345</v>
      </c>
    </row>
    <row r="18" spans="1:22" ht="14.25">
      <c r="A18" s="346"/>
      <c r="B18" s="130"/>
      <c r="C18" s="382"/>
      <c r="D18" s="382"/>
      <c r="E18" s="383" t="s">
        <v>475</v>
      </c>
      <c r="F18" s="136" t="s">
        <v>476</v>
      </c>
      <c r="G18" s="136"/>
      <c r="H18" s="133">
        <v>8994843</v>
      </c>
      <c r="I18" s="334">
        <v>17.325564205433736</v>
      </c>
      <c r="J18" s="140"/>
      <c r="K18" s="130"/>
      <c r="L18" s="130" t="s">
        <v>514</v>
      </c>
      <c r="M18" s="130"/>
      <c r="N18" s="130"/>
      <c r="O18" s="131"/>
      <c r="P18" s="131"/>
      <c r="Q18" s="134" t="s">
        <v>524</v>
      </c>
      <c r="R18" s="136"/>
      <c r="S18" s="136"/>
      <c r="T18" s="670">
        <v>3878204</v>
      </c>
      <c r="U18" s="671"/>
      <c r="V18" s="507">
        <v>7.4700661705568336</v>
      </c>
    </row>
    <row r="19" spans="1:22" ht="14.25">
      <c r="A19" s="346"/>
      <c r="B19" s="130"/>
      <c r="C19" s="382"/>
      <c r="D19" s="382" t="s">
        <v>477</v>
      </c>
      <c r="E19" s="383"/>
      <c r="F19" s="136" t="s">
        <v>478</v>
      </c>
      <c r="G19" s="136"/>
      <c r="H19" s="133">
        <v>0</v>
      </c>
      <c r="I19" s="334">
        <v>0</v>
      </c>
      <c r="J19" s="140"/>
      <c r="K19" s="130"/>
      <c r="L19" s="130"/>
      <c r="M19" s="130" t="s">
        <v>515</v>
      </c>
      <c r="N19" s="130"/>
      <c r="O19" s="131"/>
      <c r="P19" s="131"/>
      <c r="Q19" s="134" t="s">
        <v>525</v>
      </c>
      <c r="R19" s="136"/>
      <c r="S19" s="136"/>
      <c r="T19" s="670">
        <v>3878204</v>
      </c>
      <c r="U19" s="671"/>
      <c r="V19" s="507">
        <v>7.4700661705568336</v>
      </c>
    </row>
    <row r="20" spans="1:22" ht="14.25">
      <c r="A20" s="346"/>
      <c r="B20" s="130"/>
      <c r="C20" s="382" t="s">
        <v>479</v>
      </c>
      <c r="D20" s="382"/>
      <c r="E20" s="383"/>
      <c r="F20" s="136" t="s">
        <v>480</v>
      </c>
      <c r="G20" s="136"/>
      <c r="H20" s="133">
        <v>0</v>
      </c>
      <c r="I20" s="334">
        <v>0</v>
      </c>
      <c r="J20" s="140"/>
      <c r="K20" s="130"/>
      <c r="L20" s="130"/>
      <c r="M20" s="130"/>
      <c r="N20" s="130" t="s">
        <v>516</v>
      </c>
      <c r="O20" s="131"/>
      <c r="P20" s="131"/>
      <c r="Q20" s="134" t="s">
        <v>526</v>
      </c>
      <c r="R20" s="136"/>
      <c r="S20" s="136"/>
      <c r="T20" s="670">
        <v>3878204</v>
      </c>
      <c r="U20" s="671"/>
      <c r="V20" s="507">
        <v>7.4700661705568336</v>
      </c>
    </row>
    <row r="21" spans="1:22" ht="14.25">
      <c r="A21" s="346"/>
      <c r="B21" s="130"/>
      <c r="C21" s="382"/>
      <c r="D21" s="382" t="s">
        <v>481</v>
      </c>
      <c r="E21" s="383"/>
      <c r="F21" s="136" t="s">
        <v>482</v>
      </c>
      <c r="G21" s="136"/>
      <c r="H21" s="133">
        <v>0</v>
      </c>
      <c r="I21" s="334">
        <v>0</v>
      </c>
      <c r="J21" s="140"/>
      <c r="K21" s="130" t="s">
        <v>517</v>
      </c>
      <c r="L21" s="130"/>
      <c r="M21" s="130"/>
      <c r="N21" s="130"/>
      <c r="O21" s="131"/>
      <c r="P21" s="131"/>
      <c r="Q21" s="134" t="s">
        <v>527</v>
      </c>
      <c r="R21" s="136"/>
      <c r="S21" s="136"/>
      <c r="T21" s="670">
        <v>42779832</v>
      </c>
      <c r="U21" s="671"/>
      <c r="V21" s="507">
        <v>82.401074261515035</v>
      </c>
    </row>
    <row r="22" spans="1:22" ht="14.25">
      <c r="A22" s="346"/>
      <c r="B22" s="130" t="s">
        <v>483</v>
      </c>
      <c r="C22" s="130"/>
      <c r="D22" s="130"/>
      <c r="E22" s="131"/>
      <c r="F22" s="136" t="s">
        <v>484</v>
      </c>
      <c r="G22" s="136"/>
      <c r="H22" s="133">
        <v>41038269</v>
      </c>
      <c r="I22" s="334">
        <v>79.046534157334477</v>
      </c>
      <c r="J22" s="140"/>
      <c r="K22" s="130"/>
      <c r="L22" s="130" t="s">
        <v>517</v>
      </c>
      <c r="M22" s="130"/>
      <c r="N22" s="130"/>
      <c r="O22" s="131"/>
      <c r="P22" s="131"/>
      <c r="Q22" s="134" t="s">
        <v>528</v>
      </c>
      <c r="R22" s="136"/>
      <c r="S22" s="136"/>
      <c r="T22" s="670">
        <v>42779832</v>
      </c>
      <c r="U22" s="671"/>
      <c r="V22" s="507">
        <v>82.401074261515035</v>
      </c>
    </row>
    <row r="23" spans="1:22" ht="15">
      <c r="A23" s="129"/>
      <c r="B23" s="130"/>
      <c r="C23" s="130" t="s">
        <v>44</v>
      </c>
      <c r="D23" s="130"/>
      <c r="E23" s="131"/>
      <c r="F23" s="132" t="s">
        <v>485</v>
      </c>
      <c r="G23" s="132"/>
      <c r="H23" s="133">
        <v>11027358</v>
      </c>
      <c r="I23" s="334">
        <v>21.240526271031449</v>
      </c>
      <c r="J23" s="140"/>
      <c r="K23" s="135"/>
      <c r="L23" s="130"/>
      <c r="M23" s="130" t="s">
        <v>517</v>
      </c>
      <c r="N23" s="130"/>
      <c r="O23" s="131"/>
      <c r="P23" s="131"/>
      <c r="Q23" s="134" t="s">
        <v>529</v>
      </c>
      <c r="R23" s="136"/>
      <c r="S23" s="136"/>
      <c r="T23" s="670">
        <v>42779832</v>
      </c>
      <c r="U23" s="671"/>
      <c r="V23" s="507">
        <v>82.401074261515035</v>
      </c>
    </row>
    <row r="24" spans="1:22" ht="15">
      <c r="A24" s="129"/>
      <c r="B24" s="130"/>
      <c r="C24" s="130"/>
      <c r="D24" s="130" t="s">
        <v>44</v>
      </c>
      <c r="E24" s="131"/>
      <c r="F24" s="132" t="s">
        <v>486</v>
      </c>
      <c r="G24" s="132"/>
      <c r="H24" s="133">
        <v>11027358</v>
      </c>
      <c r="I24" s="334">
        <v>21.240526271031449</v>
      </c>
      <c r="J24" s="140"/>
      <c r="K24" s="135"/>
      <c r="L24" s="130"/>
      <c r="M24" s="130"/>
      <c r="N24" s="130" t="s">
        <v>518</v>
      </c>
      <c r="O24" s="131"/>
      <c r="P24" s="131"/>
      <c r="Q24" s="134" t="s">
        <v>530</v>
      </c>
      <c r="R24" s="136"/>
      <c r="S24" s="136"/>
      <c r="T24" s="670">
        <v>42779832</v>
      </c>
      <c r="U24" s="671"/>
      <c r="V24" s="507">
        <v>82.401074261515035</v>
      </c>
    </row>
    <row r="25" spans="1:22" ht="15">
      <c r="A25" s="129"/>
      <c r="B25" s="130"/>
      <c r="C25" s="130" t="s">
        <v>45</v>
      </c>
      <c r="D25" s="130"/>
      <c r="E25" s="131"/>
      <c r="F25" s="132" t="s">
        <v>487</v>
      </c>
      <c r="G25" s="132"/>
      <c r="H25" s="133">
        <v>2741317</v>
      </c>
      <c r="I25" s="334">
        <v>5.280232650080384</v>
      </c>
      <c r="J25" s="140"/>
      <c r="K25" s="135" t="s">
        <v>508</v>
      </c>
      <c r="L25" s="130"/>
      <c r="M25" s="130"/>
      <c r="N25" s="130"/>
      <c r="O25" s="131"/>
      <c r="P25" s="131"/>
      <c r="Q25" s="134"/>
      <c r="R25" s="136"/>
      <c r="S25" s="136"/>
      <c r="T25" s="670">
        <v>51916595</v>
      </c>
      <c r="U25" s="671"/>
      <c r="V25" s="507">
        <v>0</v>
      </c>
    </row>
    <row r="26" spans="1:22" ht="15">
      <c r="A26" s="129"/>
      <c r="B26" s="130"/>
      <c r="C26" s="130"/>
      <c r="D26" s="130" t="s">
        <v>45</v>
      </c>
      <c r="E26" s="131"/>
      <c r="F26" s="132" t="s">
        <v>488</v>
      </c>
      <c r="G26" s="132"/>
      <c r="H26" s="133">
        <v>5137300</v>
      </c>
      <c r="I26" s="334">
        <v>9.8952945585125534</v>
      </c>
      <c r="J26" s="140"/>
      <c r="K26" s="135"/>
      <c r="L26" s="130"/>
      <c r="M26" s="130"/>
      <c r="N26" s="130"/>
      <c r="O26" s="131"/>
      <c r="P26" s="131"/>
      <c r="Q26" s="134"/>
      <c r="R26" s="136"/>
      <c r="S26" s="136"/>
      <c r="T26" s="672">
        <f>[2]Sheet1!T30</f>
        <v>0</v>
      </c>
      <c r="U26" s="673"/>
      <c r="V26" s="507"/>
    </row>
    <row r="27" spans="1:22" ht="15">
      <c r="A27" s="129"/>
      <c r="B27" s="130"/>
      <c r="C27" s="130"/>
      <c r="D27" s="130" t="s">
        <v>489</v>
      </c>
      <c r="E27" s="131"/>
      <c r="F27" s="132" t="s">
        <v>490</v>
      </c>
      <c r="G27" s="132"/>
      <c r="H27" s="133">
        <v>-2395983</v>
      </c>
      <c r="I27" s="334">
        <v>-4.6150619084321693</v>
      </c>
      <c r="J27" s="140"/>
      <c r="K27" s="135"/>
      <c r="L27" s="130"/>
      <c r="M27" s="130"/>
      <c r="N27" s="130"/>
      <c r="O27" s="131"/>
      <c r="P27" s="131"/>
      <c r="Q27" s="134"/>
      <c r="R27" s="136"/>
      <c r="S27" s="136"/>
      <c r="T27" s="666"/>
      <c r="U27" s="667"/>
      <c r="V27" s="507"/>
    </row>
    <row r="28" spans="1:22" ht="15">
      <c r="A28" s="129"/>
      <c r="B28" s="130"/>
      <c r="C28" s="130" t="s">
        <v>491</v>
      </c>
      <c r="D28" s="130"/>
      <c r="E28" s="131"/>
      <c r="F28" s="132" t="s">
        <v>492</v>
      </c>
      <c r="G28" s="132"/>
      <c r="H28" s="133">
        <v>22292743</v>
      </c>
      <c r="I28" s="334">
        <v>42.939532147668778</v>
      </c>
      <c r="J28" s="140"/>
      <c r="K28" s="135"/>
      <c r="L28" s="130"/>
      <c r="M28" s="130"/>
      <c r="N28" s="130"/>
      <c r="O28" s="131"/>
      <c r="P28" s="131"/>
      <c r="Q28" s="134"/>
      <c r="R28" s="136"/>
      <c r="S28" s="136"/>
      <c r="T28" s="666"/>
      <c r="U28" s="667"/>
      <c r="V28" s="507"/>
    </row>
    <row r="29" spans="1:22" ht="15">
      <c r="A29" s="129"/>
      <c r="B29" s="130"/>
      <c r="C29" s="130"/>
      <c r="D29" s="130" t="s">
        <v>491</v>
      </c>
      <c r="E29" s="131"/>
      <c r="F29" s="132" t="s">
        <v>493</v>
      </c>
      <c r="G29" s="132"/>
      <c r="H29" s="133">
        <v>48434327</v>
      </c>
      <c r="I29" s="334">
        <v>93.29257244239534</v>
      </c>
      <c r="J29" s="140"/>
      <c r="K29" s="135"/>
      <c r="L29" s="130"/>
      <c r="M29" s="130"/>
      <c r="N29" s="130"/>
      <c r="O29" s="131"/>
      <c r="P29" s="131"/>
      <c r="Q29" s="134"/>
      <c r="R29" s="136"/>
      <c r="S29" s="136"/>
      <c r="T29" s="666"/>
      <c r="U29" s="667"/>
      <c r="V29" s="507"/>
    </row>
    <row r="30" spans="1:22" ht="15">
      <c r="A30" s="129"/>
      <c r="B30" s="130"/>
      <c r="C30" s="130"/>
      <c r="D30" s="130" t="s">
        <v>494</v>
      </c>
      <c r="E30" s="131"/>
      <c r="F30" s="132" t="s">
        <v>495</v>
      </c>
      <c r="G30" s="132"/>
      <c r="H30" s="133">
        <v>-26141584</v>
      </c>
      <c r="I30" s="334">
        <v>-50.353040294726569</v>
      </c>
      <c r="J30" s="140"/>
      <c r="K30" s="135"/>
      <c r="L30" s="130"/>
      <c r="M30" s="130"/>
      <c r="N30" s="130"/>
      <c r="O30" s="131"/>
      <c r="P30" s="131"/>
      <c r="Q30" s="134"/>
      <c r="R30" s="136"/>
      <c r="S30" s="136"/>
      <c r="T30" s="666"/>
      <c r="U30" s="667"/>
      <c r="V30" s="507"/>
    </row>
    <row r="31" spans="1:22" ht="14.25">
      <c r="A31" s="129"/>
      <c r="B31" s="135"/>
      <c r="C31" s="130" t="s">
        <v>47</v>
      </c>
      <c r="D31" s="130"/>
      <c r="E31" s="131"/>
      <c r="F31" s="136" t="s">
        <v>496</v>
      </c>
      <c r="G31" s="136"/>
      <c r="H31" s="133">
        <v>1573601</v>
      </c>
      <c r="I31" s="334">
        <v>3.031017346187669</v>
      </c>
      <c r="J31" s="140"/>
      <c r="K31" s="135"/>
      <c r="L31" s="135"/>
      <c r="M31" s="130"/>
      <c r="N31" s="130"/>
      <c r="O31" s="131"/>
      <c r="P31" s="131"/>
      <c r="Q31" s="134"/>
      <c r="R31" s="136"/>
      <c r="S31" s="136"/>
      <c r="T31" s="666"/>
      <c r="U31" s="667"/>
      <c r="V31" s="507"/>
    </row>
    <row r="32" spans="1:22" ht="14.25">
      <c r="A32" s="129"/>
      <c r="B32" s="135"/>
      <c r="C32" s="135"/>
      <c r="D32" s="135" t="s">
        <v>47</v>
      </c>
      <c r="E32" s="131"/>
      <c r="F32" s="136" t="s">
        <v>497</v>
      </c>
      <c r="G32" s="136"/>
      <c r="H32" s="133">
        <v>5817566</v>
      </c>
      <c r="I32" s="334">
        <v>11.205600059094786</v>
      </c>
      <c r="J32" s="140"/>
      <c r="K32" s="135"/>
      <c r="L32" s="130"/>
      <c r="M32" s="130"/>
      <c r="N32" s="130"/>
      <c r="O32" s="131"/>
      <c r="P32" s="131"/>
      <c r="Q32" s="134"/>
      <c r="R32" s="136"/>
      <c r="S32" s="136"/>
      <c r="T32" s="666"/>
      <c r="U32" s="667"/>
      <c r="V32" s="507"/>
    </row>
    <row r="33" spans="1:22" ht="14.25">
      <c r="A33" s="129"/>
      <c r="B33" s="135"/>
      <c r="C33" s="135"/>
      <c r="D33" s="135" t="s">
        <v>498</v>
      </c>
      <c r="E33" s="131"/>
      <c r="F33" s="136" t="s">
        <v>499</v>
      </c>
      <c r="G33" s="136"/>
      <c r="H33" s="133">
        <v>-4243965</v>
      </c>
      <c r="I33" s="334">
        <v>-8.1745827129071156</v>
      </c>
      <c r="J33" s="140"/>
      <c r="K33" s="135"/>
      <c r="L33" s="135"/>
      <c r="M33" s="130"/>
      <c r="N33" s="130"/>
      <c r="O33" s="131"/>
      <c r="P33" s="131"/>
      <c r="Q33" s="134"/>
      <c r="R33" s="136"/>
      <c r="S33" s="136"/>
      <c r="T33" s="666"/>
      <c r="U33" s="667"/>
      <c r="V33" s="507"/>
    </row>
    <row r="34" spans="1:22" ht="14.25">
      <c r="A34" s="129"/>
      <c r="B34" s="135"/>
      <c r="C34" s="135" t="s">
        <v>48</v>
      </c>
      <c r="D34" s="130"/>
      <c r="E34" s="131"/>
      <c r="F34" s="136" t="s">
        <v>500</v>
      </c>
      <c r="G34" s="136"/>
      <c r="H34" s="133">
        <v>136997</v>
      </c>
      <c r="I34" s="334">
        <v>0.26387901594856134</v>
      </c>
      <c r="J34" s="140"/>
      <c r="K34" s="135"/>
      <c r="L34" s="135"/>
      <c r="M34" s="135"/>
      <c r="N34" s="130"/>
      <c r="O34" s="131"/>
      <c r="P34" s="131"/>
      <c r="Q34" s="134"/>
      <c r="R34" s="136"/>
      <c r="S34" s="136"/>
      <c r="T34" s="666"/>
      <c r="U34" s="667"/>
      <c r="V34" s="507"/>
    </row>
    <row r="35" spans="1:22" ht="14.25">
      <c r="A35" s="129"/>
      <c r="B35" s="135"/>
      <c r="C35" s="130"/>
      <c r="D35" s="130" t="s">
        <v>48</v>
      </c>
      <c r="E35" s="131"/>
      <c r="F35" s="136" t="s">
        <v>501</v>
      </c>
      <c r="G35" s="136"/>
      <c r="H35" s="133">
        <v>634500</v>
      </c>
      <c r="I35" s="334">
        <v>1.2221525699056341</v>
      </c>
      <c r="J35" s="140"/>
      <c r="K35" s="135"/>
      <c r="L35" s="135"/>
      <c r="M35" s="135"/>
      <c r="N35" s="130"/>
      <c r="O35" s="131"/>
      <c r="P35" s="131"/>
      <c r="Q35" s="134"/>
      <c r="R35" s="136"/>
      <c r="S35" s="136"/>
      <c r="T35" s="666"/>
      <c r="U35" s="667"/>
      <c r="V35" s="507"/>
    </row>
    <row r="36" spans="1:22" s="347" customFormat="1" ht="14.25">
      <c r="A36" s="129"/>
      <c r="B36" s="135"/>
      <c r="C36" s="135"/>
      <c r="D36" s="130" t="s">
        <v>502</v>
      </c>
      <c r="E36" s="131"/>
      <c r="F36" s="136" t="s">
        <v>503</v>
      </c>
      <c r="G36" s="136"/>
      <c r="H36" s="133">
        <v>-497503</v>
      </c>
      <c r="I36" s="334">
        <v>-0.95827355395707281</v>
      </c>
      <c r="J36" s="140"/>
      <c r="K36" s="137"/>
      <c r="L36" s="137"/>
      <c r="M36" s="137"/>
      <c r="N36" s="137"/>
      <c r="O36" s="138"/>
      <c r="P36" s="138"/>
      <c r="Q36" s="139"/>
      <c r="R36" s="348"/>
      <c r="S36" s="348"/>
      <c r="T36" s="666"/>
      <c r="U36" s="667"/>
      <c r="V36" s="507"/>
    </row>
    <row r="37" spans="1:22" ht="14.25">
      <c r="A37" s="129"/>
      <c r="B37" s="137"/>
      <c r="C37" s="137" t="s">
        <v>203</v>
      </c>
      <c r="D37" s="137"/>
      <c r="E37" s="138"/>
      <c r="F37" s="140" t="s">
        <v>504</v>
      </c>
      <c r="G37" s="140"/>
      <c r="H37" s="141">
        <v>3266253</v>
      </c>
      <c r="I37" s="335">
        <v>6.2913467264176317</v>
      </c>
      <c r="J37" s="140"/>
      <c r="K37" s="135"/>
      <c r="L37" s="135"/>
      <c r="M37" s="137"/>
      <c r="N37" s="137"/>
      <c r="O37" s="138"/>
      <c r="P37" s="138"/>
      <c r="Q37" s="139"/>
      <c r="R37" s="348"/>
      <c r="S37" s="348"/>
      <c r="T37" s="666"/>
      <c r="U37" s="667"/>
      <c r="V37" s="507"/>
    </row>
    <row r="38" spans="1:22" ht="14.25">
      <c r="A38" s="129"/>
      <c r="B38" s="135"/>
      <c r="C38" s="130"/>
      <c r="D38" s="130" t="s">
        <v>203</v>
      </c>
      <c r="E38" s="131"/>
      <c r="F38" s="136" t="s">
        <v>505</v>
      </c>
      <c r="G38" s="136"/>
      <c r="H38" s="133">
        <v>7195591</v>
      </c>
      <c r="I38" s="334">
        <v>13.859905488794093</v>
      </c>
      <c r="J38" s="140"/>
      <c r="K38" s="135"/>
      <c r="L38" s="135"/>
      <c r="M38" s="135"/>
      <c r="N38" s="137"/>
      <c r="O38" s="138"/>
      <c r="P38" s="138"/>
      <c r="Q38" s="139"/>
      <c r="R38" s="348"/>
      <c r="S38" s="348"/>
      <c r="T38" s="666"/>
      <c r="U38" s="667"/>
      <c r="V38" s="507"/>
    </row>
    <row r="39" spans="1:22" ht="15">
      <c r="A39" s="129"/>
      <c r="B39" s="137"/>
      <c r="C39" s="137"/>
      <c r="D39" s="137" t="s">
        <v>506</v>
      </c>
      <c r="E39" s="138"/>
      <c r="F39" s="132" t="s">
        <v>507</v>
      </c>
      <c r="G39" s="132"/>
      <c r="H39" s="133">
        <v>-3929338</v>
      </c>
      <c r="I39" s="334">
        <v>-7.5685587623764619</v>
      </c>
      <c r="J39" s="140"/>
      <c r="K39" s="135"/>
      <c r="L39" s="135"/>
      <c r="M39" s="135"/>
      <c r="N39" s="130"/>
      <c r="O39" s="131"/>
      <c r="P39" s="131"/>
      <c r="Q39" s="134"/>
      <c r="R39" s="136"/>
      <c r="S39" s="136"/>
      <c r="T39" s="666"/>
      <c r="U39" s="667"/>
      <c r="V39" s="507"/>
    </row>
    <row r="40" spans="1:22" ht="15">
      <c r="A40" s="129" t="s">
        <v>508</v>
      </c>
      <c r="B40" s="137"/>
      <c r="C40" s="137"/>
      <c r="D40" s="137"/>
      <c r="E40" s="138"/>
      <c r="F40" s="132"/>
      <c r="G40" s="132"/>
      <c r="H40" s="133">
        <v>51916595</v>
      </c>
      <c r="I40" s="335"/>
      <c r="J40" s="140"/>
      <c r="K40" s="137"/>
      <c r="L40" s="137"/>
      <c r="M40" s="137"/>
      <c r="N40" s="137"/>
      <c r="O40" s="138"/>
      <c r="P40" s="138"/>
      <c r="Q40" s="141"/>
      <c r="R40" s="140"/>
      <c r="S40" s="140"/>
      <c r="T40" s="666"/>
      <c r="U40" s="667"/>
      <c r="V40" s="507"/>
    </row>
    <row r="41" spans="1:22" ht="11.65" customHeight="1">
      <c r="A41" s="142"/>
      <c r="B41" s="143"/>
      <c r="C41" s="143"/>
      <c r="D41" s="143"/>
      <c r="E41" s="144"/>
      <c r="F41" s="145"/>
      <c r="G41" s="145"/>
      <c r="H41" s="146"/>
      <c r="I41" s="336"/>
      <c r="J41" s="145"/>
      <c r="K41" s="143"/>
      <c r="L41" s="143"/>
      <c r="M41" s="143"/>
      <c r="N41" s="143"/>
      <c r="O41" s="144"/>
      <c r="P41" s="144"/>
      <c r="Q41" s="146"/>
      <c r="R41" s="145"/>
      <c r="S41" s="145"/>
      <c r="T41" s="668"/>
      <c r="U41" s="669"/>
      <c r="V41" s="508"/>
    </row>
    <row r="42" spans="1:22" ht="14.25" customHeight="1">
      <c r="A42" s="658" t="s">
        <v>333</v>
      </c>
      <c r="B42" s="658"/>
      <c r="C42" s="658"/>
      <c r="D42" s="658"/>
      <c r="E42" s="658"/>
      <c r="F42" s="658"/>
      <c r="G42" s="659">
        <v>0</v>
      </c>
      <c r="H42" s="659"/>
      <c r="L42" s="658" t="s">
        <v>334</v>
      </c>
      <c r="M42" s="658"/>
      <c r="N42" s="658"/>
      <c r="O42" s="658"/>
      <c r="P42" s="658"/>
      <c r="Q42" s="658"/>
      <c r="R42" s="658"/>
      <c r="S42" s="659">
        <v>0</v>
      </c>
      <c r="T42" s="659"/>
      <c r="U42" s="659"/>
    </row>
    <row r="43" spans="1:22" ht="14.25">
      <c r="A43" s="660" t="s">
        <v>8</v>
      </c>
      <c r="B43" s="660"/>
      <c r="D43" s="558" t="s">
        <v>456</v>
      </c>
    </row>
  </sheetData>
  <mergeCells count="48"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  <mergeCell ref="T21:U21"/>
    <mergeCell ref="T22:U22"/>
    <mergeCell ref="T17:U17"/>
    <mergeCell ref="T18:U18"/>
    <mergeCell ref="T19:U19"/>
    <mergeCell ref="T20:U20"/>
    <mergeCell ref="T25:U25"/>
    <mergeCell ref="T31:U31"/>
    <mergeCell ref="T26:U26"/>
    <mergeCell ref="T27:U27"/>
    <mergeCell ref="T28:U28"/>
    <mergeCell ref="T9:U11"/>
    <mergeCell ref="V9:V11"/>
    <mergeCell ref="T40:U40"/>
    <mergeCell ref="T41:U41"/>
    <mergeCell ref="T36:U36"/>
    <mergeCell ref="T37:U37"/>
    <mergeCell ref="T38:U38"/>
    <mergeCell ref="T39:U39"/>
    <mergeCell ref="T32:U32"/>
    <mergeCell ref="T33:U33"/>
    <mergeCell ref="T34:U34"/>
    <mergeCell ref="T35:U35"/>
    <mergeCell ref="T29:U29"/>
    <mergeCell ref="T30:U30"/>
    <mergeCell ref="T23:U23"/>
    <mergeCell ref="T24:U24"/>
    <mergeCell ref="A42:F42"/>
    <mergeCell ref="G42:H42"/>
    <mergeCell ref="L42:R42"/>
    <mergeCell ref="S42:U42"/>
    <mergeCell ref="A43:B43"/>
  </mergeCells>
  <phoneticPr fontId="10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9"/>
  <sheetViews>
    <sheetView showGridLines="0" showOutlineSymbols="0" view="pageBreakPreview" zoomScaleSheetLayoutView="100" workbookViewId="0">
      <selection activeCell="A21" sqref="A21:XFD21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688" t="str">
        <f>封面!$A$4</f>
        <v>彰化縣地方教育發展基金－彰化縣秀水鄉馬興國民小學</v>
      </c>
      <c r="B1" s="689"/>
      <c r="C1" s="689"/>
      <c r="D1" s="689"/>
      <c r="E1" s="689"/>
      <c r="F1" s="689"/>
      <c r="G1" s="689"/>
      <c r="H1" s="689"/>
      <c r="I1" s="689"/>
      <c r="J1" s="689"/>
      <c r="K1" s="689"/>
      <c r="L1" s="689"/>
      <c r="M1" s="690"/>
    </row>
    <row r="2" spans="1:13">
      <c r="A2" s="689"/>
      <c r="B2" s="689"/>
      <c r="C2" s="689"/>
      <c r="D2" s="689"/>
      <c r="E2" s="689"/>
      <c r="F2" s="689"/>
      <c r="G2" s="689"/>
      <c r="H2" s="689"/>
      <c r="I2" s="689"/>
      <c r="J2" s="689"/>
      <c r="K2" s="689"/>
      <c r="L2" s="689"/>
      <c r="M2" s="690"/>
    </row>
    <row r="3" spans="1:13">
      <c r="M3" s="230"/>
    </row>
    <row r="4" spans="1:13" ht="23.25" customHeight="1">
      <c r="A4" s="691" t="s">
        <v>27</v>
      </c>
      <c r="B4" s="691"/>
      <c r="C4" s="691"/>
      <c r="D4" s="691"/>
      <c r="E4" s="691"/>
      <c r="F4" s="691"/>
      <c r="G4" s="691"/>
      <c r="H4" s="691"/>
      <c r="I4" s="691"/>
      <c r="J4" s="691"/>
      <c r="K4" s="691"/>
      <c r="L4" s="691"/>
      <c r="M4" s="691"/>
    </row>
    <row r="5" spans="1:13" ht="2.25" customHeight="1">
      <c r="A5" s="691"/>
      <c r="B5" s="691"/>
      <c r="C5" s="691"/>
      <c r="D5" s="691"/>
      <c r="E5" s="691"/>
      <c r="F5" s="691"/>
      <c r="G5" s="691"/>
      <c r="H5" s="691"/>
      <c r="I5" s="691"/>
      <c r="J5" s="691"/>
      <c r="K5" s="691"/>
      <c r="L5" s="691"/>
      <c r="M5" s="691"/>
    </row>
    <row r="6" spans="1:13" ht="16.5">
      <c r="A6" s="692" t="str">
        <f>封面!$E$10&amp;封面!$H$10&amp;封面!$I$10&amp;封面!$J$10&amp;封面!$K$10&amp;封面!L10</f>
        <v>中華民國111年12月份</v>
      </c>
      <c r="B6" s="692"/>
      <c r="C6" s="692"/>
      <c r="D6" s="692"/>
      <c r="E6" s="692"/>
      <c r="F6" s="692"/>
      <c r="G6" s="692"/>
      <c r="H6" s="692"/>
      <c r="I6" s="692"/>
      <c r="J6" s="692"/>
      <c r="K6" s="692"/>
      <c r="L6" s="692"/>
      <c r="M6" s="692"/>
    </row>
    <row r="7" spans="1:13" ht="10.5" customHeight="1"/>
    <row r="8" spans="1:13" ht="16.5">
      <c r="A8" s="633" t="s">
        <v>1</v>
      </c>
      <c r="B8" s="633"/>
      <c r="C8" s="633"/>
      <c r="D8" s="633"/>
      <c r="E8" s="633"/>
      <c r="F8" s="633"/>
      <c r="G8" s="633"/>
      <c r="H8" s="633"/>
      <c r="I8" s="633"/>
      <c r="J8" s="633"/>
      <c r="K8" s="633"/>
      <c r="L8" s="633"/>
      <c r="M8" s="633"/>
    </row>
    <row r="9" spans="1:13" ht="1.5" customHeight="1"/>
    <row r="10" spans="1:13" s="5" customFormat="1" ht="32.25" customHeight="1">
      <c r="A10" s="16"/>
      <c r="B10" s="682" t="s">
        <v>28</v>
      </c>
      <c r="C10" s="683"/>
      <c r="D10" s="684" t="s">
        <v>29</v>
      </c>
      <c r="E10" s="687" t="s">
        <v>30</v>
      </c>
      <c r="F10" s="682"/>
      <c r="G10" s="682"/>
      <c r="H10" s="693" t="s">
        <v>208</v>
      </c>
      <c r="I10" s="694"/>
      <c r="J10" s="694"/>
      <c r="K10" s="694"/>
      <c r="L10" s="694"/>
      <c r="M10" s="229"/>
    </row>
    <row r="11" spans="1:13" s="5" customFormat="1" ht="16.5" hidden="1" customHeight="1">
      <c r="B11" s="695" t="s">
        <v>31</v>
      </c>
      <c r="C11" s="684" t="s">
        <v>32</v>
      </c>
      <c r="D11" s="685"/>
      <c r="E11" s="684" t="s">
        <v>33</v>
      </c>
      <c r="F11" s="684" t="s">
        <v>34</v>
      </c>
      <c r="G11" s="684" t="s">
        <v>35</v>
      </c>
      <c r="H11" s="684" t="s">
        <v>33</v>
      </c>
      <c r="I11" s="684" t="s">
        <v>34</v>
      </c>
      <c r="J11" s="699" t="s">
        <v>200</v>
      </c>
      <c r="K11" s="700"/>
      <c r="L11" s="701"/>
      <c r="M11" s="149"/>
    </row>
    <row r="12" spans="1:13" s="5" customFormat="1" ht="16.5">
      <c r="A12" s="16"/>
      <c r="B12" s="696"/>
      <c r="C12" s="697"/>
      <c r="D12" s="686"/>
      <c r="E12" s="697"/>
      <c r="F12" s="697"/>
      <c r="G12" s="697"/>
      <c r="H12" s="698"/>
      <c r="I12" s="698"/>
      <c r="J12" s="229" t="s">
        <v>201</v>
      </c>
      <c r="K12" s="231"/>
      <c r="L12" s="229" t="s">
        <v>202</v>
      </c>
      <c r="M12" s="229"/>
    </row>
    <row r="13" spans="1:13" ht="39.75" hidden="1" customHeight="1">
      <c r="C13" s="343"/>
      <c r="D13" s="343"/>
      <c r="E13" s="343"/>
      <c r="H13" s="14"/>
      <c r="I13" s="14"/>
      <c r="J13" s="14"/>
      <c r="K13" s="14"/>
      <c r="L13" s="14"/>
      <c r="M13" s="14"/>
    </row>
    <row r="14" spans="1:13" hidden="1">
      <c r="C14" s="343"/>
      <c r="D14" s="343"/>
      <c r="E14" s="343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22</v>
      </c>
      <c r="C15" s="394"/>
      <c r="D15" s="395" t="s">
        <v>36</v>
      </c>
      <c r="E15" s="396"/>
      <c r="F15" s="277"/>
      <c r="G15" s="278"/>
      <c r="H15" s="279">
        <v>727768</v>
      </c>
      <c r="I15" s="279">
        <v>269000</v>
      </c>
      <c r="J15" s="279">
        <v>458768</v>
      </c>
      <c r="K15" s="279"/>
      <c r="L15" s="280">
        <v>170.55</v>
      </c>
      <c r="M15" s="147"/>
    </row>
    <row r="16" spans="1:13" ht="12.75" hidden="1" customHeight="1">
      <c r="A16" s="6"/>
      <c r="B16" s="155"/>
      <c r="C16" s="379"/>
      <c r="D16" s="380"/>
      <c r="E16" s="381"/>
      <c r="F16" s="281"/>
      <c r="G16" s="281"/>
      <c r="H16" s="277"/>
      <c r="I16" s="277"/>
      <c r="J16" s="277"/>
      <c r="K16" s="277"/>
      <c r="L16" s="277"/>
      <c r="M16" s="148"/>
    </row>
    <row r="17" spans="1:13" ht="21" customHeight="1">
      <c r="A17" s="8"/>
      <c r="B17" s="157"/>
      <c r="C17" s="397"/>
      <c r="D17" s="398" t="s">
        <v>37</v>
      </c>
      <c r="E17" s="396"/>
      <c r="F17" s="277"/>
      <c r="G17" s="278"/>
      <c r="H17" s="279">
        <v>35674806</v>
      </c>
      <c r="I17" s="279">
        <v>36996000</v>
      </c>
      <c r="J17" s="279">
        <v>-1321194</v>
      </c>
      <c r="K17" s="279"/>
      <c r="L17" s="280">
        <v>-3.57</v>
      </c>
      <c r="M17" s="147"/>
    </row>
    <row r="18" spans="1:13" ht="12.75" hidden="1" customHeight="1">
      <c r="B18" s="156"/>
      <c r="C18" s="380"/>
      <c r="D18" s="399"/>
      <c r="E18" s="381"/>
      <c r="F18" s="281"/>
      <c r="G18" s="281"/>
      <c r="H18" s="277"/>
      <c r="I18" s="277"/>
      <c r="J18" s="277"/>
      <c r="K18" s="277"/>
      <c r="L18" s="277"/>
      <c r="M18" s="148"/>
    </row>
    <row r="19" spans="1:13" ht="12.75" hidden="1" customHeight="1">
      <c r="B19" s="156"/>
      <c r="C19" s="380"/>
      <c r="D19" s="380"/>
      <c r="E19" s="381"/>
      <c r="F19" s="281"/>
      <c r="G19" s="281"/>
      <c r="H19" s="277"/>
      <c r="I19" s="277"/>
      <c r="J19" s="277"/>
      <c r="K19" s="277"/>
      <c r="L19" s="277"/>
      <c r="M19" s="148"/>
    </row>
    <row r="20" spans="1:13" ht="21" hidden="1" customHeight="1">
      <c r="A20" s="12"/>
      <c r="B20" s="17" t="s">
        <v>23</v>
      </c>
      <c r="C20" s="394"/>
      <c r="D20" s="395" t="s">
        <v>36</v>
      </c>
      <c r="E20" s="396"/>
      <c r="F20" s="277"/>
      <c r="G20" s="282"/>
      <c r="H20" s="279"/>
      <c r="I20" s="279"/>
      <c r="J20" s="279"/>
      <c r="K20" s="279"/>
      <c r="L20" s="280"/>
      <c r="M20" s="147"/>
    </row>
    <row r="21" spans="1:13" ht="12.75" hidden="1" customHeight="1">
      <c r="A21" s="6"/>
      <c r="B21" s="155"/>
      <c r="C21" s="379"/>
      <c r="D21" s="380"/>
      <c r="E21" s="381"/>
      <c r="F21" s="281"/>
      <c r="G21" s="281"/>
      <c r="H21" s="277"/>
      <c r="I21" s="277"/>
      <c r="J21" s="277"/>
      <c r="K21" s="277"/>
      <c r="L21" s="277"/>
      <c r="M21" s="148"/>
    </row>
    <row r="22" spans="1:13" ht="21" hidden="1" customHeight="1">
      <c r="A22" s="8"/>
      <c r="B22" s="157"/>
      <c r="C22" s="397"/>
      <c r="D22" s="398" t="s">
        <v>37</v>
      </c>
      <c r="E22" s="396"/>
      <c r="F22" s="277"/>
      <c r="G22" s="282"/>
      <c r="H22" s="279"/>
      <c r="I22" s="279"/>
      <c r="J22" s="279"/>
      <c r="K22" s="279"/>
      <c r="L22" s="280"/>
      <c r="M22" s="147"/>
    </row>
    <row r="23" spans="1:13" ht="12.75" hidden="1" customHeight="1">
      <c r="B23" s="156"/>
      <c r="C23" s="156"/>
      <c r="D23" s="158"/>
      <c r="E23" s="281"/>
      <c r="F23" s="281"/>
      <c r="G23" s="281"/>
      <c r="H23" s="277"/>
      <c r="I23" s="277"/>
      <c r="J23" s="277"/>
      <c r="K23" s="277"/>
      <c r="L23" s="277"/>
      <c r="M23" s="148"/>
    </row>
    <row r="24" spans="1:13" ht="12.75" hidden="1" customHeight="1">
      <c r="B24" s="156"/>
      <c r="C24" s="156"/>
      <c r="D24" s="156"/>
      <c r="E24" s="281"/>
      <c r="F24" s="281"/>
      <c r="G24" s="281"/>
      <c r="H24" s="277"/>
      <c r="I24" s="277"/>
      <c r="J24" s="277"/>
      <c r="K24" s="277"/>
      <c r="L24" s="277"/>
      <c r="M24" s="148"/>
    </row>
    <row r="25" spans="1:13" ht="12.75" hidden="1" customHeight="1">
      <c r="B25" s="160"/>
      <c r="C25" s="161"/>
      <c r="D25" s="162"/>
      <c r="E25" s="159"/>
      <c r="F25" s="159"/>
      <c r="G25" s="159"/>
      <c r="H25" s="119"/>
      <c r="I25" s="119"/>
      <c r="J25" s="232"/>
      <c r="K25" s="232"/>
      <c r="L25" s="120"/>
      <c r="M25" s="121"/>
    </row>
    <row r="26" spans="1:13" ht="17.25" hidden="1" customHeight="1">
      <c r="B26" s="161"/>
      <c r="C26" s="161"/>
      <c r="D26" s="158"/>
      <c r="E26" s="163"/>
      <c r="F26" s="163"/>
      <c r="G26" s="163"/>
      <c r="H26" s="163"/>
      <c r="I26" s="163"/>
      <c r="J26" s="163"/>
      <c r="K26" s="163"/>
      <c r="L26" s="163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34"/>
  <sheetViews>
    <sheetView showZeros="0" view="pageBreakPreview" zoomScaleSheetLayoutView="100" workbookViewId="0">
      <selection activeCell="A21" sqref="A21:XFD21"/>
    </sheetView>
  </sheetViews>
  <sheetFormatPr defaultColWidth="9.140625" defaultRowHeight="15.75"/>
  <cols>
    <col min="1" max="1" width="25.42578125" style="246" customWidth="1"/>
    <col min="2" max="7" width="17" style="59" customWidth="1"/>
    <col min="8" max="16384" width="9.140625" style="59"/>
  </cols>
  <sheetData>
    <row r="1" spans="1:11" s="85" customFormat="1" ht="19.5">
      <c r="A1" s="703" t="str">
        <f>封面!$A$4</f>
        <v>彰化縣地方教育發展基金－彰化縣秀水鄉馬興國民小學</v>
      </c>
      <c r="B1" s="703"/>
      <c r="C1" s="703"/>
      <c r="D1" s="703"/>
      <c r="E1" s="703"/>
      <c r="F1" s="703"/>
      <c r="G1" s="704"/>
      <c r="J1" s="241"/>
      <c r="K1" s="215"/>
    </row>
    <row r="2" spans="1:11" s="85" customFormat="1" ht="19.5" hidden="1">
      <c r="A2" s="244"/>
      <c r="B2" s="237"/>
      <c r="C2" s="237"/>
      <c r="D2" s="240"/>
      <c r="E2" s="240"/>
      <c r="F2" s="240"/>
      <c r="J2" s="241"/>
      <c r="K2" s="215"/>
    </row>
    <row r="3" spans="1:11" s="85" customFormat="1" ht="14.25" hidden="1" customHeight="1">
      <c r="A3" s="245"/>
      <c r="J3" s="241"/>
      <c r="K3" s="215"/>
    </row>
    <row r="4" spans="1:11" s="85" customFormat="1" ht="21">
      <c r="A4" s="707" t="s">
        <v>274</v>
      </c>
      <c r="B4" s="707"/>
      <c r="C4" s="707"/>
      <c r="D4" s="707"/>
      <c r="E4" s="707"/>
      <c r="F4" s="707"/>
      <c r="G4" s="704"/>
      <c r="J4" s="241"/>
      <c r="K4" s="215"/>
    </row>
    <row r="5" spans="1:11" s="85" customFormat="1" ht="6.75" customHeight="1">
      <c r="A5" s="245"/>
      <c r="J5" s="241"/>
      <c r="K5" s="215"/>
    </row>
    <row r="6" spans="1:11" s="85" customFormat="1" ht="16.5">
      <c r="A6" s="706" t="str">
        <f>封面!$E$10&amp;封面!$H$10&amp;封面!$I$10&amp;封面!$J$10&amp;封面!$K$10&amp;封面!L10</f>
        <v>中華民國111年12月份</v>
      </c>
      <c r="B6" s="706"/>
      <c r="C6" s="706"/>
      <c r="D6" s="706"/>
      <c r="E6" s="706"/>
      <c r="F6" s="706"/>
      <c r="G6" s="704"/>
      <c r="J6" s="241"/>
      <c r="K6" s="215"/>
    </row>
    <row r="7" spans="1:11" s="85" customFormat="1" ht="14.25" customHeight="1">
      <c r="A7" s="633" t="s">
        <v>39</v>
      </c>
      <c r="B7" s="633"/>
      <c r="C7" s="633"/>
      <c r="D7" s="633"/>
      <c r="E7" s="633"/>
      <c r="F7" s="633"/>
      <c r="G7" s="704"/>
      <c r="J7" s="241"/>
      <c r="K7" s="215"/>
    </row>
    <row r="8" spans="1:11" s="242" customFormat="1" ht="28.5" customHeight="1">
      <c r="A8" s="627" t="s">
        <v>219</v>
      </c>
      <c r="B8" s="627" t="s">
        <v>276</v>
      </c>
      <c r="C8" s="627" t="s">
        <v>277</v>
      </c>
      <c r="D8" s="708" t="s">
        <v>280</v>
      </c>
      <c r="E8" s="709"/>
      <c r="F8" s="635" t="s">
        <v>281</v>
      </c>
      <c r="G8" s="646" t="s">
        <v>282</v>
      </c>
    </row>
    <row r="9" spans="1:11" s="243" customFormat="1" ht="28.5" customHeight="1">
      <c r="A9" s="705"/>
      <c r="B9" s="705"/>
      <c r="C9" s="705"/>
      <c r="D9" s="325" t="s">
        <v>278</v>
      </c>
      <c r="E9" s="325" t="s">
        <v>279</v>
      </c>
      <c r="F9" s="702"/>
      <c r="G9" s="667"/>
    </row>
    <row r="10" spans="1:11">
      <c r="A10" s="247" t="s">
        <v>210</v>
      </c>
      <c r="B10" s="283">
        <f t="shared" ref="B10:G10" si="0">SUM(B12:B32)</f>
        <v>74887823</v>
      </c>
      <c r="C10" s="283">
        <f t="shared" si="0"/>
        <v>34700584</v>
      </c>
      <c r="D10" s="326">
        <f t="shared" si="0"/>
        <v>3824117</v>
      </c>
      <c r="E10" s="326">
        <f t="shared" si="0"/>
        <v>465298</v>
      </c>
      <c r="F10" s="326">
        <f t="shared" si="0"/>
        <v>2507789</v>
      </c>
      <c r="G10" s="326">
        <f t="shared" si="0"/>
        <v>41038269</v>
      </c>
    </row>
    <row r="11" spans="1:11" ht="15.75" hidden="1" customHeight="1">
      <c r="A11" s="248"/>
      <c r="B11" s="284"/>
      <c r="C11" s="284"/>
      <c r="D11" s="327"/>
      <c r="E11" s="327"/>
      <c r="F11" s="327"/>
      <c r="G11" s="327"/>
    </row>
    <row r="12" spans="1:11">
      <c r="A12" s="249" t="s">
        <v>211</v>
      </c>
      <c r="B12" s="284"/>
      <c r="C12" s="284"/>
      <c r="D12" s="327"/>
      <c r="E12" s="327"/>
      <c r="F12" s="327"/>
      <c r="G12" s="327">
        <f>B12-C12+D12-E12-F12</f>
        <v>0</v>
      </c>
    </row>
    <row r="13" spans="1:11" ht="15.75" hidden="1" customHeight="1">
      <c r="A13" s="249"/>
      <c r="B13" s="284"/>
      <c r="C13" s="378"/>
      <c r="D13" s="437"/>
      <c r="E13" s="437"/>
      <c r="F13" s="327"/>
      <c r="G13" s="327">
        <f t="shared" ref="G13:G33" si="1">B13-C13+D13-E13-F13</f>
        <v>0</v>
      </c>
    </row>
    <row r="14" spans="1:11">
      <c r="A14" s="249" t="s">
        <v>212</v>
      </c>
      <c r="B14" s="284">
        <v>11027358</v>
      </c>
      <c r="C14" s="438"/>
      <c r="D14" s="437"/>
      <c r="E14" s="437"/>
      <c r="F14" s="327"/>
      <c r="G14" s="327">
        <f t="shared" si="1"/>
        <v>11027358</v>
      </c>
    </row>
    <row r="15" spans="1:11" ht="15.75" hidden="1" customHeight="1">
      <c r="A15" s="249"/>
      <c r="B15" s="284"/>
      <c r="C15" s="438"/>
      <c r="D15" s="437"/>
      <c r="E15" s="437"/>
      <c r="F15" s="327"/>
      <c r="G15" s="327">
        <f t="shared" si="1"/>
        <v>0</v>
      </c>
    </row>
    <row r="16" spans="1:11">
      <c r="A16" s="249" t="s">
        <v>213</v>
      </c>
      <c r="B16" s="440">
        <v>5137300</v>
      </c>
      <c r="C16" s="441">
        <v>2002347</v>
      </c>
      <c r="D16" s="439"/>
      <c r="E16" s="437"/>
      <c r="F16" s="441">
        <v>393636</v>
      </c>
      <c r="G16" s="327">
        <f t="shared" si="1"/>
        <v>2741317</v>
      </c>
    </row>
    <row r="17" spans="1:7" ht="15.75" hidden="1" customHeight="1">
      <c r="A17" s="249"/>
      <c r="B17" s="438"/>
      <c r="C17" s="438"/>
      <c r="D17" s="439"/>
      <c r="E17" s="437"/>
      <c r="F17" s="439"/>
      <c r="G17" s="327">
        <f t="shared" si="1"/>
        <v>0</v>
      </c>
    </row>
    <row r="18" spans="1:7">
      <c r="A18" s="249" t="s">
        <v>214</v>
      </c>
      <c r="B18" s="440">
        <v>48499250</v>
      </c>
      <c r="C18" s="441">
        <v>25055154</v>
      </c>
      <c r="D18" s="437"/>
      <c r="E18" s="437">
        <v>64923</v>
      </c>
      <c r="F18" s="441">
        <v>1086430</v>
      </c>
      <c r="G18" s="327">
        <f t="shared" si="1"/>
        <v>22292743</v>
      </c>
    </row>
    <row r="19" spans="1:7" ht="15.75" hidden="1" customHeight="1">
      <c r="A19" s="249"/>
      <c r="B19" s="438"/>
      <c r="C19" s="438"/>
      <c r="D19" s="439"/>
      <c r="E19" s="437"/>
      <c r="F19" s="439"/>
      <c r="G19" s="327">
        <f t="shared" si="1"/>
        <v>0</v>
      </c>
    </row>
    <row r="20" spans="1:7">
      <c r="A20" s="249" t="s">
        <v>215</v>
      </c>
      <c r="B20" s="440">
        <v>5217136</v>
      </c>
      <c r="C20" s="441">
        <v>3858656</v>
      </c>
      <c r="D20" s="441">
        <v>813443</v>
      </c>
      <c r="E20" s="437">
        <v>213013</v>
      </c>
      <c r="F20" s="441">
        <v>385309</v>
      </c>
      <c r="G20" s="327">
        <f t="shared" si="1"/>
        <v>1573601</v>
      </c>
    </row>
    <row r="21" spans="1:7" ht="15.75" hidden="1" customHeight="1">
      <c r="A21" s="249"/>
      <c r="B21" s="438"/>
      <c r="C21" s="438"/>
      <c r="D21" s="439"/>
      <c r="E21" s="437"/>
      <c r="F21" s="439"/>
      <c r="G21" s="327">
        <f t="shared" si="1"/>
        <v>0</v>
      </c>
    </row>
    <row r="22" spans="1:7">
      <c r="A22" s="249" t="s">
        <v>216</v>
      </c>
      <c r="B22" s="440">
        <v>634500</v>
      </c>
      <c r="C22" s="441">
        <v>433888</v>
      </c>
      <c r="D22" s="441"/>
      <c r="E22" s="437"/>
      <c r="F22" s="441">
        <v>63615</v>
      </c>
      <c r="G22" s="327">
        <f t="shared" si="1"/>
        <v>136997</v>
      </c>
    </row>
    <row r="23" spans="1:7" ht="15.75" hidden="1" customHeight="1">
      <c r="A23" s="249"/>
      <c r="B23" s="438"/>
      <c r="C23" s="438"/>
      <c r="D23" s="439"/>
      <c r="E23" s="327"/>
      <c r="F23" s="439"/>
      <c r="G23" s="327">
        <f t="shared" si="1"/>
        <v>0</v>
      </c>
    </row>
    <row r="24" spans="1:7">
      <c r="A24" s="249" t="s">
        <v>217</v>
      </c>
      <c r="B24" s="440">
        <v>4372279</v>
      </c>
      <c r="C24" s="441">
        <v>3350539</v>
      </c>
      <c r="D24" s="441">
        <v>3010674</v>
      </c>
      <c r="E24" s="327">
        <v>187362</v>
      </c>
      <c r="F24" s="441">
        <v>578799</v>
      </c>
      <c r="G24" s="327">
        <f t="shared" si="1"/>
        <v>3266253</v>
      </c>
    </row>
    <row r="25" spans="1:7" ht="15.75" hidden="1" customHeight="1">
      <c r="A25" s="249"/>
      <c r="B25" s="284"/>
      <c r="C25" s="284"/>
      <c r="D25" s="327"/>
      <c r="E25" s="327"/>
      <c r="F25" s="327"/>
      <c r="G25" s="327">
        <f t="shared" si="1"/>
        <v>0</v>
      </c>
    </row>
    <row r="26" spans="1:7">
      <c r="A26" s="249" t="s">
        <v>218</v>
      </c>
      <c r="B26" s="284"/>
      <c r="C26" s="284"/>
      <c r="D26" s="327"/>
      <c r="E26" s="327"/>
      <c r="F26" s="327"/>
      <c r="G26" s="327">
        <f t="shared" si="1"/>
        <v>0</v>
      </c>
    </row>
    <row r="27" spans="1:7" ht="15.75" hidden="1" customHeight="1">
      <c r="A27" s="249"/>
      <c r="B27" s="284"/>
      <c r="C27" s="284"/>
      <c r="D27" s="327"/>
      <c r="E27" s="327"/>
      <c r="F27" s="327"/>
      <c r="G27" s="327">
        <f t="shared" si="1"/>
        <v>0</v>
      </c>
    </row>
    <row r="28" spans="1:7">
      <c r="A28" s="249" t="s">
        <v>275</v>
      </c>
      <c r="B28" s="284"/>
      <c r="C28" s="284"/>
      <c r="D28" s="327"/>
      <c r="E28" s="327"/>
      <c r="F28" s="327"/>
      <c r="G28" s="327">
        <f t="shared" si="1"/>
        <v>0</v>
      </c>
    </row>
    <row r="29" spans="1:7" ht="15.75" hidden="1" customHeight="1">
      <c r="A29" s="249"/>
      <c r="B29" s="284"/>
      <c r="C29" s="284"/>
      <c r="D29" s="327"/>
      <c r="E29" s="327"/>
      <c r="F29" s="327"/>
      <c r="G29" s="327">
        <f t="shared" si="1"/>
        <v>0</v>
      </c>
    </row>
    <row r="30" spans="1:7">
      <c r="A30" s="249" t="s">
        <v>50</v>
      </c>
      <c r="B30" s="284"/>
      <c r="C30" s="284"/>
      <c r="D30" s="327"/>
      <c r="E30" s="327"/>
      <c r="F30" s="327"/>
      <c r="G30" s="327">
        <f t="shared" si="1"/>
        <v>0</v>
      </c>
    </row>
    <row r="31" spans="1:7">
      <c r="A31" s="249" t="s">
        <v>205</v>
      </c>
      <c r="B31" s="284"/>
      <c r="C31" s="284"/>
      <c r="D31" s="327"/>
      <c r="E31" s="327"/>
      <c r="F31" s="327"/>
      <c r="G31" s="327">
        <f t="shared" si="1"/>
        <v>0</v>
      </c>
    </row>
    <row r="32" spans="1:7" ht="15.75" hidden="1" customHeight="1">
      <c r="A32" s="249"/>
      <c r="B32" s="284"/>
      <c r="C32" s="284"/>
      <c r="D32" s="327"/>
      <c r="E32" s="327"/>
      <c r="F32" s="327"/>
      <c r="G32" s="327">
        <f t="shared" si="1"/>
        <v>0</v>
      </c>
    </row>
    <row r="33" spans="1:7">
      <c r="A33" s="250" t="s">
        <v>206</v>
      </c>
      <c r="B33" s="285"/>
      <c r="C33" s="285"/>
      <c r="D33" s="328"/>
      <c r="E33" s="328"/>
      <c r="F33" s="328"/>
      <c r="G33" s="328">
        <f t="shared" si="1"/>
        <v>0</v>
      </c>
    </row>
    <row r="34" spans="1:7">
      <c r="G34" s="276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購健固定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2022-12-30T03:18:56Z</cp:lastPrinted>
  <dcterms:created xsi:type="dcterms:W3CDTF">2016-11-01T23:05:09Z</dcterms:created>
  <dcterms:modified xsi:type="dcterms:W3CDTF">2023-03-16T02:25:34Z</dcterms:modified>
</cp:coreProperties>
</file>