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FCFFE889-3136-42BC-B131-24AA59D288B8}" xr6:coauthVersionLast="36" xr6:coauthVersionMax="36" xr10:uidLastSave="{00000000-0000-0000-0000-000000000000}"/>
  <bookViews>
    <workbookView xWindow="-12" yWindow="72" windowWidth="15480" windowHeight="3780" tabRatio="800" firstSheet="3" activeTab="15" xr2:uid="{00000000-000D-0000-FFFF-FFFF00000000}"/>
  </bookViews>
  <sheets>
    <sheet name="封面-移交" sheetId="22" r:id="rId1"/>
    <sheet name="勾稽" sheetId="15" r:id="rId2"/>
    <sheet name="Sheet1" sheetId="26" state="hidden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專戶差額" sheetId="16" r:id="rId16"/>
    <sheet name="專戶對帳" sheetId="18" r:id="rId17"/>
    <sheet name="購健固定" sheetId="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9">各項費用!$A$1:$W$86</definedName>
    <definedName name="_xlnm.Print_Area" localSheetId="11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5">專戶差額!$A$1:$L$57</definedName>
    <definedName name="_xlnm.Print_Area" localSheetId="10">落後原因!$A$1:$P$20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餘絀表!$A$1:$AD$46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D30" i="25" l="1"/>
  <c r="E29" i="25"/>
  <c r="D29" i="25"/>
  <c r="D27" i="25"/>
  <c r="Y87" i="26"/>
  <c r="Z113" i="26"/>
  <c r="Y113" i="26"/>
  <c r="Y82" i="26"/>
  <c r="H22" i="25"/>
  <c r="H21" i="25"/>
  <c r="N39" i="23" l="1"/>
  <c r="N38" i="23"/>
  <c r="N36" i="23"/>
  <c r="N35" i="23"/>
  <c r="N34" i="23"/>
  <c r="N32" i="23"/>
  <c r="N31" i="23"/>
  <c r="N30" i="23"/>
  <c r="N28" i="23"/>
  <c r="N25" i="23"/>
  <c r="N24" i="23"/>
  <c r="N23" i="23"/>
  <c r="N21" i="23"/>
  <c r="N20" i="23"/>
  <c r="N19" i="23"/>
  <c r="N18" i="23"/>
  <c r="N17" i="23"/>
  <c r="N16" i="23"/>
  <c r="N15" i="23"/>
  <c r="V14" i="1"/>
  <c r="V15" i="1"/>
  <c r="V16" i="1"/>
  <c r="V17" i="1"/>
  <c r="V18" i="1"/>
  <c r="V19" i="1"/>
  <c r="V20" i="1"/>
  <c r="V21" i="1"/>
  <c r="V22" i="1"/>
  <c r="V23" i="1"/>
  <c r="V24" i="1"/>
  <c r="V25" i="1"/>
  <c r="T14" i="1"/>
  <c r="T15" i="1"/>
  <c r="T16" i="1"/>
  <c r="T17" i="1"/>
  <c r="T18" i="1"/>
  <c r="T19" i="1"/>
  <c r="T20" i="1"/>
  <c r="T21" i="1"/>
  <c r="T22" i="1"/>
  <c r="T23" i="1"/>
  <c r="T24" i="1"/>
  <c r="T25" i="1"/>
  <c r="V13" i="1"/>
  <c r="T13" i="1"/>
  <c r="AG16" i="3" l="1"/>
  <c r="AG17" i="3"/>
  <c r="AG18" i="3"/>
  <c r="AG19" i="3"/>
  <c r="AG20" i="3"/>
  <c r="AG21" i="3"/>
  <c r="AG22" i="3"/>
  <c r="AG23" i="3"/>
  <c r="AG24" i="3"/>
  <c r="AG25" i="3"/>
  <c r="AG26" i="3"/>
  <c r="AG28" i="3"/>
  <c r="AG29" i="3"/>
  <c r="AG30" i="3"/>
  <c r="M49" i="16" l="1"/>
  <c r="M45" i="16"/>
  <c r="M10" i="16"/>
  <c r="K9" i="16" l="1"/>
  <c r="M9" i="16" s="1"/>
  <c r="B3" i="16" l="1"/>
  <c r="H54" i="16"/>
  <c r="I54" i="16"/>
  <c r="J54" i="16"/>
  <c r="K54" i="16"/>
  <c r="M54" i="16" s="1"/>
  <c r="L54" i="16"/>
  <c r="G54" i="16"/>
  <c r="K49" i="16"/>
  <c r="K45" i="16"/>
  <c r="K14" i="16"/>
  <c r="K10" i="16"/>
  <c r="L8" i="16" l="1"/>
  <c r="L53" i="16" s="1"/>
  <c r="K8" i="16"/>
  <c r="K53" i="16" s="1"/>
  <c r="J8" i="16"/>
  <c r="J53" i="16" s="1"/>
  <c r="I8" i="16"/>
  <c r="G8" i="16"/>
  <c r="D23" i="25" l="1"/>
  <c r="N4" i="12" l="1"/>
  <c r="D29" i="24" l="1"/>
  <c r="C29" i="24"/>
  <c r="E6" i="25" l="1"/>
  <c r="D6" i="25"/>
  <c r="I17" i="23" l="1"/>
  <c r="G31" i="25" l="1"/>
  <c r="I35" i="23" l="1"/>
  <c r="I33" i="23"/>
  <c r="N33" i="23" s="1"/>
  <c r="I31" i="23"/>
  <c r="I29" i="23"/>
  <c r="N29" i="23" s="1"/>
  <c r="I27" i="23"/>
  <c r="N27" i="23" s="1"/>
  <c r="I24" i="23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N37" i="23" l="1"/>
  <c r="E13" i="25" s="1"/>
  <c r="G13" i="25" s="1"/>
  <c r="D13" i="25" s="1"/>
  <c r="H10" i="25" s="1"/>
  <c r="I40" i="23"/>
  <c r="N40" i="23" s="1"/>
  <c r="F12" i="15"/>
  <c r="F12" i="25"/>
  <c r="D28" i="25"/>
  <c r="J31" i="24"/>
  <c r="E31" i="24"/>
  <c r="E9" i="15"/>
  <c r="D9" i="15"/>
  <c r="P7" i="12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M40" i="8" l="1"/>
  <c r="N40" i="8" s="1"/>
  <c r="L49" i="16"/>
  <c r="J49" i="16"/>
  <c r="I49" i="16"/>
  <c r="H49" i="16"/>
  <c r="G49" i="16"/>
  <c r="L45" i="16"/>
  <c r="J45" i="16"/>
  <c r="I45" i="16"/>
  <c r="H45" i="16"/>
  <c r="G45" i="16"/>
  <c r="L14" i="16"/>
  <c r="J14" i="16"/>
  <c r="I14" i="16"/>
  <c r="I53" i="16" s="1"/>
  <c r="H14" i="16"/>
  <c r="G14" i="16"/>
  <c r="L10" i="16"/>
  <c r="L58" i="16" s="1"/>
  <c r="L59" i="16" s="1"/>
  <c r="J10" i="16"/>
  <c r="J58" i="16" s="1"/>
  <c r="J59" i="16" s="1"/>
  <c r="I10" i="16"/>
  <c r="H10" i="16"/>
  <c r="G10" i="16"/>
  <c r="I58" i="16" l="1"/>
  <c r="I59" i="16" s="1"/>
  <c r="H58" i="16"/>
  <c r="H53" i="16"/>
  <c r="G58" i="16"/>
  <c r="M14" i="16"/>
  <c r="G53" i="16"/>
  <c r="A16" i="11"/>
  <c r="G59" i="16" l="1"/>
  <c r="H59" i="16"/>
  <c r="M53" i="16"/>
  <c r="G55" i="16"/>
  <c r="M55" i="16" s="1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<sst xmlns="http://schemas.openxmlformats.org/spreadsheetml/2006/main" count="992" uniqueCount="771">
  <si>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</si>
  <si>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</si>
  <si>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</si>
  <si>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</si>
  <si>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</si>
  <si>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</si>
  <si>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</si>
  <si>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</si>
  <si>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</si>
  <si>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</si>
  <si>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</si>
  <si>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</si>
  <si>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</si>
  <si>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</si>
  <si>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</si>
  <si>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</si>
  <si>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</si>
  <si>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</si>
  <si>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</si>
  <si>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</si>
  <si>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</si>
  <si>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</si>
  <si>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</si>
  <si>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</si>
  <si>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</si>
  <si>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</si>
  <si>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</si>
  <si>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</si>
  <si>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</si>
  <si>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</si>
  <si>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</si>
  <si>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</si>
  <si>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</si>
  <si>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</si>
  <si>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</si>
  <si>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</si>
  <si>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</si>
  <si>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</si>
  <si>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</si>
  <si>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</si>
  <si>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</si>
  <si>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</si>
  <si>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</si>
  <si>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</si>
  <si>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</si>
  <si>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</si>
  <si>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</si>
  <si>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</si>
  <si>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</si>
  <si>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</si>
  <si>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</si>
  <si>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</si>
  <si>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</si>
  <si>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</si>
  <si>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</si>
  <si>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</si>
  <si>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</si>
  <si>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</si>
  <si>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</si>
  <si>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</si>
  <si>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</si>
  <si>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</si>
  <si>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</si>
  <si>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</si>
  <si>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</si>
  <si>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</si>
  <si>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</si>
  <si>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</si>
  <si>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</si>
  <si>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</si>
  <si>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</si>
  <si>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</si>
  <si>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</si>
  <si>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</si>
  <si>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</si>
  <si>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</si>
  <si>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</si>
  <si>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</si>
  <si>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</si>
  <si>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</si>
  <si>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</si>
  <si>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</si>
  <si>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</si>
  <si>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</si>
  <si>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</si>
  <si>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</si>
  <si>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</si>
  <si>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</si>
  <si>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</si>
  <si>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</si>
  <si>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</si>
  <si>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</si>
  <si>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</si>
  <si>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</si>
  <si>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</si>
  <si>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</si>
  <si>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</si>
  <si>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</si>
  <si>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</si>
  <si>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</si>
  <si>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</si>
  <si>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</si>
  <si>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</si>
  <si>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</si>
  <si>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</si>
  <si>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</si>
  <si>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</si>
  <si>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</si>
  <si>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</si>
  <si>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</si>
  <si>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</si>
  <si>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</si>
  <si>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</si>
  <si>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</si>
  <si>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</si>
  <si>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</si>
  <si>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</si>
  <si>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</si>
  <si>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</si>
  <si>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</si>
  <si>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</si>
  <si>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</si>
  <si>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</si>
  <si>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</si>
  <si>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</si>
  <si>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</si>
  <si>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</si>
  <si>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</si>
  <si>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</si>
  <si>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</si>
  <si>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</si>
  <si>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</si>
  <si>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</si>
  <si>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</si>
  <si>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</si>
  <si>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</si>
  <si>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</si>
  <si>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</si>
  <si>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</si>
  <si>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</si>
  <si>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</si>
  <si>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</si>
  <si>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</si>
  <si>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</si>
  <si>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</si>
  <si>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</si>
  <si>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</si>
  <si>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</si>
  <si>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</si>
  <si>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</si>
  <si>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</si>
  <si>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</si>
  <si>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</si>
  <si>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</si>
  <si>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</si>
  <si>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</si>
  <si>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</si>
  <si>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</si>
  <si>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</si>
  <si>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</si>
  <si>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</si>
  <si>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</si>
  <si>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</si>
  <si>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</si>
  <si>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</si>
  <si>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</si>
  <si>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</si>
  <si>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</si>
  <si>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</si>
  <si>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</si>
  <si>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</si>
  <si>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</si>
  <si>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</si>
  <si>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</si>
  <si>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</si>
  <si>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</si>
  <si>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</si>
  <si>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</si>
  <si>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</si>
  <si>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</si>
  <si>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</si>
  <si>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</si>
  <si>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</si>
  <si>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</si>
  <si>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</si>
  <si>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</si>
  <si>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</si>
  <si>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</si>
  <si>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</si>
  <si>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</si>
  <si>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</si>
  <si>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</si>
  <si>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</si>
  <si>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</si>
  <si>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</si>
  <si>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</si>
  <si>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</si>
  <si>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</si>
  <si>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</si>
  <si>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</si>
  <si>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</si>
  <si>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</si>
  <si>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</si>
  <si>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</si>
  <si>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</si>
  <si>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</si>
  <si>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</si>
  <si>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</si>
  <si>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</si>
  <si>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</si>
  <si>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</si>
  <si>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</si>
  <si>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</si>
  <si>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</si>
  <si>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</si>
  <si>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</si>
  <si>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</si>
  <si>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</si>
  <si>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</si>
  <si>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</si>
  <si>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</si>
  <si>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</si>
  <si>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</si>
  <si>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</si>
  <si>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</si>
  <si>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</si>
  <si>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</si>
  <si>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</si>
  <si>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</si>
  <si>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</si>
  <si>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</si>
  <si>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</si>
  <si>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</si>
  <si>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</si>
  <si>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</si>
  <si>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</si>
  <si>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</si>
  <si>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</si>
  <si>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</si>
  <si>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</si>
  <si>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</si>
  <si>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</si>
  <si>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</si>
  <si>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</si>
  <si>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</si>
  <si>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</si>
  <si>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</si>
  <si>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</si>
  <si>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</si>
  <si>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</si>
  <si>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</si>
  <si>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</si>
  <si>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</si>
  <si>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</si>
  <si>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</si>
  <si>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</si>
  <si>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</si>
  <si>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</si>
  <si>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</si>
  <si>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</si>
  <si>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</si>
  <si>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</si>
  <si>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</si>
  <si>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</si>
  <si>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</si>
  <si>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</si>
  <si>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</si>
  <si>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</si>
  <si>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</si>
  <si>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</si>
  <si>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</si>
  <si>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</si>
  <si>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</si>
  <si>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</si>
  <si>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</si>
  <si>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</si>
  <si>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</si>
  <si>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</si>
  <si>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</si>
  <si>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</si>
  <si>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</si>
  <si>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</si>
  <si>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</si>
  <si>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</si>
  <si>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</si>
  <si>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</si>
  <si>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</si>
  <si>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</si>
  <si>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</si>
  <si>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</si>
  <si>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</si>
  <si>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</si>
  <si>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</si>
  <si>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</si>
  <si>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</si>
  <si>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</si>
  <si>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</si>
  <si>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</si>
  <si>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</si>
  <si>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</si>
  <si>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</si>
  <si>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</si>
  <si>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</si>
  <si>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</si>
  <si>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</si>
  <si>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</si>
  <si>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</si>
  <si>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</si>
  <si>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</si>
  <si>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</si>
  <si>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</si>
  <si>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</si>
  <si>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</si>
  <si>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</si>
  <si>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</si>
  <si>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</si>
  <si>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</si>
  <si>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</si>
  <si>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</si>
  <si>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</si>
  <si>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</si>
  <si>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</si>
  <si>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</si>
  <si>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</si>
  <si>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</si>
  <si>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</si>
  <si>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</si>
  <si>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</si>
  <si>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</si>
  <si>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</si>
  <si>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</si>
  <si>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</si>
  <si>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</si>
  <si>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</si>
  <si>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</si>
  <si>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</si>
  <si>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</si>
  <si>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</si>
  <si>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</si>
  <si>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</si>
  <si>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</si>
  <si>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</si>
  <si>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</si>
  <si>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</si>
  <si>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</si>
  <si>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</si>
  <si>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</si>
  <si>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</si>
  <si>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</si>
  <si>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</si>
  <si>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</si>
  <si>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</si>
  <si>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</si>
  <si>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</si>
  <si>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</si>
  <si>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</si>
  <si>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</si>
  <si>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</si>
  <si>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</si>
  <si>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</si>
  <si>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</si>
  <si>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</si>
  <si>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</si>
  <si>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</si>
  <si>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</si>
  <si>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</si>
  <si>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</si>
  <si>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</si>
  <si>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</si>
  <si>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</si>
  <si>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</si>
  <si>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</si>
  <si>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</si>
  <si>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</si>
  <si>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</si>
  <si>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</si>
  <si>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</si>
  <si>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</si>
  <si>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</si>
  <si>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教育儲金</t>
    <phoneticPr fontId="10" type="noConversion"/>
  </si>
  <si>
    <t>午餐專戶</t>
    <phoneticPr fontId="10" type="noConversion"/>
  </si>
  <si>
    <t>保管金-帳面</t>
    <phoneticPr fontId="10" type="noConversion"/>
  </si>
  <si>
    <t>仁愛-帳面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</si>
  <si>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</si>
  <si>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</si>
  <si>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</si>
  <si>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</si>
  <si>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</si>
  <si>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</si>
  <si>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</si>
  <si>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</si>
  <si>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</si>
  <si>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</si>
  <si>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</si>
  <si>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</si>
  <si>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</si>
  <si>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</si>
  <si>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</si>
  <si>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</si>
  <si>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</si>
  <si>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</si>
  <si>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</si>
  <si>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</si>
  <si>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</si>
  <si>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</si>
  <si>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</si>
  <si>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</si>
  <si>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</si>
  <si>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</si>
  <si>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</si>
  <si>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</si>
  <si>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</si>
  <si>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</si>
  <si>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</si>
  <si>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</si>
  <si>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</si>
  <si>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</si>
  <si>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</si>
  <si>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</si>
  <si>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</si>
  <si>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</si>
  <si>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</si>
  <si>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</si>
  <si>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</si>
  <si>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</si>
  <si>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</si>
  <si>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</si>
  <si>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</si>
  <si>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</si>
  <si>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</si>
  <si>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</si>
  <si>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</si>
  <si>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</si>
  <si>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</si>
  <si>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</si>
  <si>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</si>
  <si>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</si>
  <si>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</si>
  <si>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</si>
  <si>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</si>
  <si>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</si>
  <si>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</si>
  <si>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</si>
  <si>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</si>
  <si>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</si>
  <si>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</si>
  <si>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</si>
  <si>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</si>
  <si>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V</t>
    <phoneticPr fontId="10" type="noConversion"/>
  </si>
  <si>
    <t>(二)</t>
    <phoneticPr fontId="10" type="noConversion"/>
  </si>
  <si>
    <t>財產處分收入：</t>
    <phoneticPr fontId="10" type="noConversion"/>
  </si>
  <si>
    <t>總計</t>
    <phoneticPr fontId="10" type="noConversion"/>
  </si>
  <si>
    <t>電力系統改善工程款項預撥入戶，致保管金專戶利息收入增加。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</si>
  <si>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</si>
  <si>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</si>
  <si>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</si>
  <si>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</si>
  <si>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</si>
  <si>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</si>
  <si>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</si>
  <si>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</si>
  <si>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11153017580030100</t>
  </si>
  <si>
    <t>地方教育發展基金</t>
  </si>
  <si>
    <t/>
  </si>
  <si>
    <t>上期結餘</t>
  </si>
  <si>
    <t>111/07/01</t>
  </si>
  <si>
    <t>00047</t>
  </si>
  <si>
    <t>0700129</t>
  </si>
  <si>
    <t>支付數</t>
  </si>
  <si>
    <t>111/07/06</t>
  </si>
  <si>
    <t>00048</t>
  </si>
  <si>
    <t>0700996</t>
  </si>
  <si>
    <t>00049</t>
  </si>
  <si>
    <t>0700997</t>
  </si>
  <si>
    <t>00050</t>
  </si>
  <si>
    <t>0700998</t>
  </si>
  <si>
    <t>111/07/11</t>
  </si>
  <si>
    <t>00051</t>
  </si>
  <si>
    <t>0702047</t>
  </si>
  <si>
    <t>111/07/12</t>
  </si>
  <si>
    <t>44</t>
  </si>
  <si>
    <t>0700074</t>
  </si>
  <si>
    <t>支出收回</t>
  </si>
  <si>
    <t>111/07/19</t>
  </si>
  <si>
    <t>48</t>
  </si>
  <si>
    <t>0700114</t>
  </si>
  <si>
    <t>00052</t>
  </si>
  <si>
    <t>0703305</t>
  </si>
  <si>
    <t>111/07/28</t>
  </si>
  <si>
    <t>00055</t>
  </si>
  <si>
    <t>0705754</t>
  </si>
  <si>
    <t>00056</t>
  </si>
  <si>
    <t>0705756</t>
  </si>
  <si>
    <t>111/07/29</t>
  </si>
  <si>
    <t>00053</t>
  </si>
  <si>
    <t>0704784</t>
  </si>
  <si>
    <t>00054</t>
  </si>
  <si>
    <t>0704786</t>
  </si>
  <si>
    <t>小計</t>
  </si>
  <si>
    <t>4</t>
  </si>
  <si>
    <t>45</t>
  </si>
  <si>
    <t>6</t>
  </si>
  <si>
    <t>71</t>
  </si>
  <si>
    <t>因增設社團，致場地設施使用費增加。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</si>
  <si>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</si>
  <si>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</si>
  <si>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</si>
  <si>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</si>
  <si>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</si>
  <si>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</si>
  <si>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</si>
  <si>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</si>
  <si>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</si>
  <si>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</si>
  <si>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</si>
  <si>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</si>
  <si>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</si>
  <si>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</si>
  <si>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</si>
  <si>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</si>
  <si>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</si>
  <si>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</si>
  <si>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</si>
  <si>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</si>
  <si>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</si>
  <si>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</si>
  <si>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</si>
  <si>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</si>
  <si>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</si>
  <si>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</si>
  <si>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</si>
  <si>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</si>
  <si>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</si>
  <si>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</si>
  <si>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</si>
  <si>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</si>
  <si>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</si>
  <si>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</si>
  <si>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</si>
  <si>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</si>
  <si>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</si>
  <si>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</si>
  <si>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</si>
  <si>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</si>
  <si>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</si>
  <si>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</si>
  <si>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</si>
  <si>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</si>
  <si>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</si>
  <si>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</si>
  <si>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</si>
  <si>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</si>
  <si>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</si>
  <si>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</si>
  <si>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</si>
  <si>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</si>
  <si>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其他負債</t>
  </si>
  <si>
    <t>28</t>
  </si>
  <si>
    <t>什項負債</t>
  </si>
  <si>
    <t>2801</t>
  </si>
  <si>
    <t>存入保證金</t>
  </si>
  <si>
    <t>280104</t>
  </si>
  <si>
    <t>淨資產</t>
  </si>
  <si>
    <t>3</t>
  </si>
  <si>
    <t>31</t>
  </si>
  <si>
    <t>3101</t>
  </si>
  <si>
    <t>累積餘額</t>
  </si>
  <si>
    <t>310101</t>
  </si>
  <si>
    <t>本期賸餘</t>
  </si>
  <si>
    <t>310102</t>
  </si>
  <si>
    <t>用人費用</t>
  </si>
  <si>
    <t>-39.68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</si>
  <si>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</si>
  <si>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</si>
  <si>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</si>
  <si>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</si>
  <si>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</si>
  <si>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</si>
  <si>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</si>
  <si>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</si>
  <si>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</si>
  <si>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</si>
  <si>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</si>
  <si>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</si>
  <si>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</si>
  <si>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</si>
  <si>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</si>
  <si>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</si>
  <si>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</si>
  <si>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</si>
  <si>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</si>
  <si>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</si>
  <si>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</si>
  <si>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</si>
  <si>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</si>
  <si>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</si>
  <si>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</si>
  <si>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</si>
  <si>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-47.73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</si>
  <si>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</si>
  <si>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</si>
  <si>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</si>
  <si>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</si>
  <si>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</si>
  <si>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</si>
  <si>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</si>
  <si>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</si>
  <si>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</si>
  <si>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</si>
  <si>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</si>
  <si>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</si>
  <si>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</si>
  <si>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</si>
  <si>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</si>
  <si>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</si>
  <si>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</si>
  <si>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</si>
  <si>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</si>
  <si>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</si>
  <si>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</si>
  <si>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</si>
  <si>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</si>
  <si>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</si>
  <si>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</si>
  <si>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</si>
  <si>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</si>
  <si>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</si>
  <si>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</si>
  <si>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</si>
  <si>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</si>
  <si>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</si>
  <si>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</si>
  <si>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</si>
  <si>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</si>
  <si>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</si>
  <si>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</si>
  <si>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</si>
  <si>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</si>
  <si>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</si>
  <si>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</si>
  <si>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</si>
  <si>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-72.98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</si>
  <si>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</si>
  <si>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</si>
  <si>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</si>
  <si>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</si>
  <si>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</si>
  <si>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</si>
  <si>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</si>
  <si>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</si>
  <si>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</si>
  <si>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</si>
  <si>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租金、償債、利息及相關手續費</t>
  </si>
  <si>
    <t>-7.67</t>
  </si>
  <si>
    <t>41</t>
  </si>
  <si>
    <t>地租及水租</t>
  </si>
  <si>
    <t>411</t>
  </si>
  <si>
    <t>一般土地租金</t>
  </si>
  <si>
    <t>雜項設備租金</t>
  </si>
  <si>
    <t>451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</si>
  <si>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</si>
  <si>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</si>
  <si>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</si>
  <si>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</si>
  <si>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</si>
  <si>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</si>
  <si>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</si>
  <si>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-36.55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</si>
  <si>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</si>
  <si>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</si>
  <si>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</si>
  <si>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</si>
  <si>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</si>
  <si>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</si>
  <si>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</si>
  <si>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</si>
  <si>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</si>
  <si>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</si>
  <si>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</si>
  <si>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</si>
  <si>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-99.27</t>
  </si>
  <si>
    <t>91</t>
  </si>
  <si>
    <t>其他支出</t>
  </si>
  <si>
    <t>91Y</t>
  </si>
  <si>
    <t>合       計</t>
  </si>
  <si>
    <t>-39.91</t>
  </si>
  <si>
    <t>175-1</t>
  </si>
  <si>
    <t>彰化縣地方教育發展基金－彰化縣秀水鄉馬興國民小學</t>
  </si>
  <si>
    <t>代收代辦經費收支餘額表</t>
  </si>
  <si>
    <t>中華民國111年1月1日至111年7月31日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</si>
  <si>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</si>
  <si>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</si>
  <si>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</si>
  <si>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</si>
  <si>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</si>
  <si>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</si>
  <si>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</si>
  <si>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</si>
  <si>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</si>
  <si>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</si>
  <si>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</si>
  <si>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</si>
  <si>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</si>
  <si>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</si>
  <si>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</si>
  <si>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</si>
  <si>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</si>
  <si>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</si>
  <si>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</si>
  <si>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</si>
  <si>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</si>
  <si>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</si>
  <si>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</si>
  <si>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</si>
  <si>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</si>
  <si>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</si>
  <si>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</si>
  <si>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</si>
  <si>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</si>
  <si>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</si>
  <si>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</si>
  <si>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</si>
  <si>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</si>
  <si>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</si>
  <si>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</si>
  <si>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</si>
  <si>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</si>
  <si>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</si>
  <si>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DA1101  應付代收款-保管戶#94121-電力系統改善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</si>
  <si>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</si>
  <si>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</si>
  <si>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</si>
  <si>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</si>
  <si>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</si>
  <si>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</si>
  <si>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</si>
  <si>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</si>
  <si>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</si>
  <si>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</si>
  <si>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</si>
  <si>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</si>
  <si>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</si>
  <si>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</si>
  <si>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</si>
  <si>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</si>
  <si>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</si>
  <si>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</si>
  <si>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HC0008  應付代收款-仁愛專戶#94366-蕭桃子女士獎助學金</t>
  </si>
  <si>
    <t>KA0001  暫收及待結轉帳項-#196451-學生代收代辦費</t>
  </si>
  <si>
    <t>M00001  應付代收款-保管戶#94121-指定用途捐款-外語教育經費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</si>
  <si>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</si>
  <si>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</si>
  <si>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</si>
  <si>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應付代收款-保管戶#94121-指定用途捐款-獎助學生、充實教學環境設備</t>
  </si>
  <si>
    <t>YA0028  存入保證金-#94121-履約保證金-午餐食材採購(承富)</t>
  </si>
  <si>
    <t>YA0032  存入保證金-#94121-履約保證金-午餐食材採購(豐成)</t>
  </si>
  <si>
    <t>YA0901  存入保證金-#94121-履約保證金-109年度午餐食材採購(承富)</t>
  </si>
  <si>
    <t>YA1002  存入保證金-#94121-履約保證金-彰化縣中小學電力系統改善工程(言瑞)</t>
  </si>
  <si>
    <t>YA1003  存入保證金-#94121-履約保證金-校園創意(共融式)兒童遊戲場等(爵鼎)</t>
  </si>
  <si>
    <t>YA1004  存入保證金-#94121-履約保證金-活動中心拆除重建工程(達陞)</t>
  </si>
  <si>
    <t>YA1101  存入保證金-#94121-履約保證金-校園危險欄杆(女兒牆)修繕工程(振宏)</t>
  </si>
  <si>
    <t>ZA0014  存入保證金-#94121-保固金-106北棟教室耐震工程(達陞111.9.5)</t>
  </si>
  <si>
    <t>ZA0018  存入保證金-#94121-保固金-108操揚排水改善(福隆111.10.30)</t>
  </si>
  <si>
    <t>ZA0901  存入保證金-#94121-保固金-108視聽大樓廁所整(永昌111.11.12)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</si>
  <si>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</si>
  <si>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</si>
  <si>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</si>
  <si>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</si>
  <si>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</si>
  <si>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總和 :</t>
  </si>
  <si>
    <t>電話總機主機板及3支分機損壞維修更換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</si>
</sst>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2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9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177" fontId="23" fillId="0" borderId="0" xfId="7" applyNumberFormat="1" applyFont="1" applyAlignment="1" applyProtection="1">
      <alignment horizontal="center"/>
      <protection locked="0"/>
    </xf>
    <xf numFmtId="177" fontId="85" fillId="0" borderId="0" xfId="7" applyNumberFormat="1" applyFont="1" applyAlignment="1" applyProtection="1">
      <alignment horizontal="right"/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2" xfId="0" applyFont="1" applyBorder="1" applyAlignment="1"/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0" fillId="0" borderId="0" xfId="7" applyNumberFormat="1" applyFont="1" applyFill="1" applyAlignment="1">
      <alignment horizontal="right" vertical="top"/>
    </xf>
    <xf numFmtId="0" fontId="95" fillId="0" borderId="0" xfId="0" applyFont="1">
      <alignment vertical="top"/>
    </xf>
    <xf numFmtId="180" fontId="92" fillId="0" borderId="13" xfId="7" applyNumberFormat="1" applyFont="1" applyFill="1" applyBorder="1" applyAlignment="1">
      <alignment horizontal="center" vertical="top"/>
    </xf>
    <xf numFmtId="180" fontId="92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2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7" fillId="0" borderId="13" xfId="0" applyFont="1" applyBorder="1" applyAlignment="1" applyProtection="1">
      <protection locked="0"/>
    </xf>
    <xf numFmtId="0" fontId="97" fillId="0" borderId="13" xfId="0" applyFont="1" applyBorder="1" applyAlignment="1" applyProtection="1">
      <alignment horizontal="center"/>
      <protection locked="0"/>
    </xf>
    <xf numFmtId="0" fontId="7" fillId="0" borderId="0" xfId="0" applyFont="1" applyAlignment="1"/>
    <xf numFmtId="3" fontId="3" fillId="0" borderId="0" xfId="0" applyNumberFormat="1" applyFont="1" applyAlignment="1">
      <alignment horizontal="right" vertical="top"/>
    </xf>
    <xf numFmtId="0" fontId="100" fillId="0" borderId="0" xfId="0" applyFont="1" applyAlignment="1">
      <alignment horizontal="left" vertical="top" wrapText="1" readingOrder="1"/>
    </xf>
    <xf numFmtId="3" fontId="101" fillId="0" borderId="0" xfId="0" applyNumberFormat="1" applyFont="1" applyAlignment="1">
      <alignment horizontal="right" vertical="top"/>
    </xf>
    <xf numFmtId="0" fontId="0" fillId="4" borderId="0" xfId="0" applyFill="1">
      <alignment vertical="top"/>
    </xf>
    <xf numFmtId="3" fontId="3" fillId="4" borderId="0" xfId="0" applyNumberFormat="1" applyFont="1" applyFill="1" applyAlignment="1">
      <alignment horizontal="right" vertical="top"/>
    </xf>
    <xf numFmtId="0" fontId="91" fillId="0" borderId="0" xfId="0" applyFont="1">
      <alignment vertical="top"/>
    </xf>
    <xf numFmtId="3" fontId="91" fillId="4" borderId="0" xfId="0" applyNumberFormat="1" applyFont="1" applyFill="1">
      <alignment vertical="top"/>
    </xf>
    <xf numFmtId="0" fontId="91" fillId="4" borderId="0" xfId="0" applyFont="1" applyFill="1">
      <alignment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91" fillId="13" borderId="0" xfId="0" applyFont="1" applyFill="1">
      <alignment vertical="top"/>
    </xf>
    <xf numFmtId="3" fontId="91" fillId="13" borderId="0" xfId="0" applyNumberFormat="1" applyFont="1" applyFill="1">
      <alignment vertical="top"/>
    </xf>
    <xf numFmtId="3" fontId="0" fillId="13" borderId="0" xfId="0" applyNumberFormat="1" applyFill="1">
      <alignment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91" fillId="14" borderId="0" xfId="0" applyFont="1" applyFill="1">
      <alignment vertical="top"/>
    </xf>
    <xf numFmtId="3" fontId="91" fillId="14" borderId="0" xfId="0" applyNumberFormat="1" applyFont="1" applyFill="1">
      <alignment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01" fillId="0" borderId="0" xfId="0" applyNumberFormat="1" applyFont="1" applyAlignment="1">
      <alignment horizontal="right" vertical="top"/>
    </xf>
    <xf numFmtId="0" fontId="3" fillId="13" borderId="0" xfId="0" applyFont="1" applyFill="1" applyAlignment="1">
      <alignment horizontal="left" vertical="top" wrapText="1" readingOrder="1"/>
    </xf>
    <xf numFmtId="3" fontId="16" fillId="13" borderId="0" xfId="0" applyNumberFormat="1" applyFont="1" applyFill="1" applyAlignment="1">
      <alignment horizontal="right" vertical="top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4" borderId="0" xfId="0" applyFont="1" applyFill="1" applyAlignment="1">
      <alignment horizontal="left" vertical="top" wrapText="1" readingOrder="1"/>
    </xf>
    <xf numFmtId="3" fontId="16" fillId="4" borderId="0" xfId="0" applyNumberFormat="1" applyFont="1" applyFill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0" fontId="98" fillId="0" borderId="0" xfId="0" applyFont="1" applyAlignment="1">
      <alignment horizontal="right" vertical="top"/>
    </xf>
    <xf numFmtId="0" fontId="99" fillId="0" borderId="0" xfId="0" applyFont="1" applyAlignment="1">
      <alignment horizontal="center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center" wrapText="1"/>
    </xf>
    <xf numFmtId="0" fontId="9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63" fillId="0" borderId="0" xfId="0" applyFont="1" applyAlignment="1">
      <alignment vertical="top" wrapText="1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0" fontId="8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0" xfId="6" applyAlignment="1"/>
    <xf numFmtId="0" fontId="23" fillId="0" borderId="13" xfId="6" applyBorder="1" applyAlignment="1"/>
    <xf numFmtId="0" fontId="23" fillId="0" borderId="15" xfId="6" applyBorder="1" applyAlignment="1"/>
    <xf numFmtId="0" fontId="23" fillId="0" borderId="14" xfId="6" applyBorder="1" applyAlignment="1"/>
    <xf numFmtId="0" fontId="23" fillId="0" borderId="4" xfId="6" applyBorder="1" applyAlignment="1"/>
    <xf numFmtId="0" fontId="23" fillId="0" borderId="3" xfId="6" applyBorder="1" applyAlignment="1"/>
    <xf numFmtId="0" fontId="23" fillId="0" borderId="2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0" xfId="6" applyBorder="1" applyAlignment="1"/>
    <xf numFmtId="0" fontId="23" fillId="0" borderId="13" xfId="6" applyFont="1" applyBorder="1" applyAlignment="1"/>
    <xf numFmtId="0" fontId="9" fillId="0" borderId="3" xfId="6" applyFont="1" applyBorder="1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CB95F669-2AB7-402C-9EC3-48E80CD8B9F8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千分位 3" xfId="16" xr:uid="{3B7D36B5-B802-4F45-B7E7-4D34551CBF1B}"/>
    <cellStyle name="百分比" xfId="14" builtinId="5"/>
    <cellStyle name="百分比 2" xfId="9" xr:uid="{00000000-0005-0000-0000-00000E000000}"/>
  </cellStyles>
  <dxfs count="7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4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13187110</v>
          </cell>
          <cell r="V14">
            <v>23.149361605547824</v>
          </cell>
        </row>
        <row r="15">
          <cell r="T15">
            <v>10898950</v>
          </cell>
          <cell r="V15">
            <v>19.132602569538395</v>
          </cell>
        </row>
        <row r="16">
          <cell r="T16">
            <v>10898950</v>
          </cell>
          <cell r="V16">
            <v>19.132602569538395</v>
          </cell>
        </row>
        <row r="17">
          <cell r="T17">
            <v>10898950</v>
          </cell>
          <cell r="V17">
            <v>19.132602569538395</v>
          </cell>
        </row>
        <row r="18">
          <cell r="T18">
            <v>2288160</v>
          </cell>
          <cell r="V18">
            <v>4.0167590360094296</v>
          </cell>
        </row>
        <row r="19">
          <cell r="T19">
            <v>2288160</v>
          </cell>
          <cell r="V19">
            <v>4.0167590360094296</v>
          </cell>
        </row>
        <row r="20">
          <cell r="T20">
            <v>2288160</v>
          </cell>
          <cell r="V20">
            <v>4.0167590360094296</v>
          </cell>
        </row>
        <row r="21">
          <cell r="T21">
            <v>43778219</v>
          </cell>
          <cell r="V21">
            <v>76.850638394452176</v>
          </cell>
        </row>
        <row r="23">
          <cell r="T23">
            <v>43778219</v>
          </cell>
          <cell r="V23">
            <v>76.850638394452176</v>
          </cell>
        </row>
        <row r="25">
          <cell r="T25">
            <v>43778219</v>
          </cell>
          <cell r="V25">
            <v>76.850638394452176</v>
          </cell>
        </row>
        <row r="26">
          <cell r="T26">
            <v>42531681</v>
          </cell>
          <cell r="V26">
            <v>74.662398596872848</v>
          </cell>
        </row>
        <row r="28">
          <cell r="T28">
            <v>1246538</v>
          </cell>
          <cell r="V28">
            <v>2.1882397975793313</v>
          </cell>
        </row>
        <row r="29">
          <cell r="T29">
            <v>56965329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代收款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22628465</v>
          </cell>
        </row>
        <row r="15">
          <cell r="N15">
            <v>5640</v>
          </cell>
        </row>
        <row r="16">
          <cell r="N16">
            <v>5640</v>
          </cell>
        </row>
        <row r="17">
          <cell r="N17">
            <v>3616443</v>
          </cell>
        </row>
        <row r="18">
          <cell r="N18">
            <v>4680</v>
          </cell>
        </row>
        <row r="19">
          <cell r="N19">
            <v>0</v>
          </cell>
        </row>
        <row r="20">
          <cell r="N20">
            <v>471807</v>
          </cell>
        </row>
        <row r="21">
          <cell r="N21">
            <v>3139956</v>
          </cell>
        </row>
        <row r="22">
          <cell r="N22">
            <v>18994919</v>
          </cell>
        </row>
        <row r="23">
          <cell r="N23">
            <v>18994919</v>
          </cell>
        </row>
        <row r="24">
          <cell r="N24">
            <v>11463</v>
          </cell>
        </row>
        <row r="25">
          <cell r="N25">
            <v>11463</v>
          </cell>
        </row>
        <row r="26">
          <cell r="N26">
            <v>21159637</v>
          </cell>
        </row>
        <row r="27">
          <cell r="N27">
            <v>19141819</v>
          </cell>
        </row>
        <row r="28">
          <cell r="N28">
            <v>19141819</v>
          </cell>
        </row>
        <row r="29">
          <cell r="N29">
            <v>606595</v>
          </cell>
        </row>
        <row r="30">
          <cell r="N30">
            <v>606595</v>
          </cell>
        </row>
        <row r="31">
          <cell r="N31">
            <v>3673</v>
          </cell>
        </row>
        <row r="32">
          <cell r="N32">
            <v>3673</v>
          </cell>
        </row>
        <row r="33">
          <cell r="N33">
            <v>1407310</v>
          </cell>
        </row>
        <row r="34">
          <cell r="N34">
            <v>1407310</v>
          </cell>
        </row>
        <row r="35">
          <cell r="N35">
            <v>240</v>
          </cell>
        </row>
        <row r="36">
          <cell r="N36">
            <v>240</v>
          </cell>
        </row>
        <row r="37">
          <cell r="N37">
            <v>1468828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44000509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3" t="s">
        <v>284</v>
      </c>
    </row>
    <row r="4" spans="1:14" ht="36.6">
      <c r="A4" s="584" t="s">
        <v>283</v>
      </c>
      <c r="B4" s="585"/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  <c r="N4" s="585"/>
    </row>
    <row r="5" spans="1:14" ht="59.25" customHeight="1"/>
    <row r="6" spans="1:14" ht="59.25" customHeight="1"/>
    <row r="7" spans="1:14" ht="36.6">
      <c r="C7" s="586" t="s">
        <v>120</v>
      </c>
      <c r="D7" s="586"/>
      <c r="E7" s="586"/>
      <c r="F7" s="586"/>
      <c r="G7" s="586"/>
      <c r="H7" s="586"/>
      <c r="I7" s="586"/>
      <c r="J7" s="586"/>
      <c r="K7" s="586"/>
      <c r="L7" s="586"/>
    </row>
    <row r="8" spans="1:14" ht="51.75" customHeight="1"/>
    <row r="9" spans="1:14" ht="51.75" customHeight="1"/>
    <row r="10" spans="1:14" s="67" customFormat="1" ht="33">
      <c r="C10" s="333"/>
      <c r="D10" s="333"/>
      <c r="E10" s="587" t="s">
        <v>121</v>
      </c>
      <c r="F10" s="587"/>
      <c r="G10" s="587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>
      <c r="M11" s="62"/>
    </row>
    <row r="15" spans="1:14" s="64" customFormat="1" ht="34.5" customHeight="1">
      <c r="B15" s="588" t="s">
        <v>124</v>
      </c>
      <c r="C15" s="588"/>
      <c r="D15" s="588"/>
      <c r="E15" s="588"/>
      <c r="F15" s="588"/>
      <c r="H15" s="332"/>
      <c r="I15" s="332" t="s">
        <v>125</v>
      </c>
      <c r="J15" s="332"/>
      <c r="K15" s="332"/>
      <c r="L15" s="332"/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5" sqref="A25:XFD25"/>
      <selection pane="bottomLeft" activeCell="A25" sqref="A25:XFD25"/>
    </sheetView>
  </sheetViews>
  <sheetFormatPr defaultColWidth="6.88671875" defaultRowHeight="12.75" customHeight="1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97"/>
      <c r="U1" s="697"/>
      <c r="V1" s="697"/>
      <c r="W1" s="697"/>
    </row>
    <row r="2" spans="1:24" ht="24.75" customHeight="1">
      <c r="A2" s="622" t="str">
        <f>封面!$A$4</f>
        <v>彰化縣地方教育發展基金－彰化縣秀水鄉馬興國民小學</v>
      </c>
      <c r="B2" s="596"/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596"/>
      <c r="N2" s="596"/>
      <c r="O2" s="596"/>
      <c r="P2" s="596"/>
      <c r="Q2" s="596"/>
      <c r="R2" s="596"/>
      <c r="S2" s="596"/>
      <c r="T2" s="596"/>
      <c r="U2" s="596"/>
      <c r="V2" s="596"/>
      <c r="W2" s="596"/>
    </row>
    <row r="3" spans="1:24" ht="20.25" customHeight="1">
      <c r="A3" s="674" t="s">
        <v>69</v>
      </c>
      <c r="B3" s="674"/>
      <c r="C3" s="674"/>
      <c r="D3" s="674"/>
      <c r="E3" s="674"/>
      <c r="F3" s="674"/>
      <c r="G3" s="674"/>
      <c r="H3" s="674"/>
      <c r="I3" s="674"/>
      <c r="J3" s="674"/>
      <c r="K3" s="674"/>
      <c r="L3" s="674"/>
      <c r="M3" s="674"/>
      <c r="N3" s="674"/>
      <c r="O3" s="674"/>
      <c r="P3" s="674"/>
      <c r="Q3" s="674"/>
      <c r="R3" s="674"/>
      <c r="S3" s="674"/>
      <c r="T3" s="674"/>
      <c r="U3" s="674"/>
      <c r="V3" s="674"/>
      <c r="W3" s="674"/>
    </row>
    <row r="4" spans="1:24" ht="20.25" customHeight="1">
      <c r="A4" s="620" t="str">
        <f>封面!$E$10&amp;封面!$H$10&amp;封面!$I$10&amp;封面!$J$10&amp;封面!$K$10&amp;封面!L10</f>
        <v>中華民國111年7月份</v>
      </c>
      <c r="B4" s="620"/>
      <c r="C4" s="620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</row>
    <row r="5" spans="1:24" ht="16.2">
      <c r="S5" s="699" t="s">
        <v>1</v>
      </c>
      <c r="T5" s="596"/>
      <c r="U5" s="596"/>
      <c r="V5" s="596"/>
      <c r="W5" s="596"/>
    </row>
    <row r="6" spans="1:24" ht="13.8" hidden="1"/>
    <row r="7" spans="1:24" ht="8.1" customHeight="1">
      <c r="A7" s="679" t="s">
        <v>6</v>
      </c>
      <c r="B7" s="698"/>
      <c r="C7" s="698"/>
      <c r="D7" s="698"/>
      <c r="E7" s="698"/>
      <c r="F7" s="698"/>
      <c r="G7" s="698"/>
      <c r="H7" s="698"/>
      <c r="I7" s="698"/>
      <c r="J7" s="698"/>
      <c r="K7" s="698"/>
      <c r="L7" s="698"/>
      <c r="M7" s="698"/>
      <c r="N7" s="679" t="s">
        <v>71</v>
      </c>
      <c r="O7" s="696"/>
      <c r="P7" s="679" t="s">
        <v>72</v>
      </c>
      <c r="Q7" s="696"/>
      <c r="R7" s="679" t="s">
        <v>70</v>
      </c>
      <c r="S7" s="696"/>
      <c r="T7" s="696"/>
      <c r="U7" s="696"/>
      <c r="V7" s="696"/>
      <c r="W7" s="696"/>
      <c r="X7" s="6"/>
    </row>
    <row r="8" spans="1:24" ht="8.1" customHeight="1">
      <c r="A8" s="698"/>
      <c r="B8" s="698"/>
      <c r="C8" s="698"/>
      <c r="D8" s="698"/>
      <c r="E8" s="698"/>
      <c r="F8" s="698"/>
      <c r="G8" s="698"/>
      <c r="H8" s="698"/>
      <c r="I8" s="698"/>
      <c r="J8" s="698"/>
      <c r="K8" s="698"/>
      <c r="L8" s="698"/>
      <c r="M8" s="698"/>
      <c r="N8" s="696"/>
      <c r="O8" s="696"/>
      <c r="P8" s="696"/>
      <c r="Q8" s="696"/>
      <c r="R8" s="696"/>
      <c r="S8" s="696"/>
      <c r="T8" s="696"/>
      <c r="U8" s="696"/>
      <c r="V8" s="696"/>
      <c r="W8" s="696"/>
      <c r="X8" s="6"/>
    </row>
    <row r="9" spans="1:24" ht="8.1" customHeight="1">
      <c r="A9" s="698"/>
      <c r="B9" s="698"/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6"/>
      <c r="O9" s="696"/>
      <c r="P9" s="696"/>
      <c r="Q9" s="696"/>
      <c r="R9" s="679" t="s">
        <v>4</v>
      </c>
      <c r="S9" s="696"/>
      <c r="T9" s="696"/>
      <c r="U9" s="696"/>
      <c r="V9" s="83"/>
      <c r="W9" s="700" t="s">
        <v>154</v>
      </c>
      <c r="X9" s="6"/>
    </row>
    <row r="10" spans="1:24" ht="8.1" customHeight="1">
      <c r="A10" s="698"/>
      <c r="B10" s="698"/>
      <c r="C10" s="698"/>
      <c r="D10" s="698"/>
      <c r="E10" s="698"/>
      <c r="F10" s="698"/>
      <c r="G10" s="698"/>
      <c r="H10" s="698"/>
      <c r="I10" s="698"/>
      <c r="J10" s="698"/>
      <c r="K10" s="698"/>
      <c r="L10" s="698"/>
      <c r="M10" s="698"/>
      <c r="N10" s="696"/>
      <c r="O10" s="696"/>
      <c r="P10" s="696"/>
      <c r="Q10" s="696"/>
      <c r="R10" s="696"/>
      <c r="S10" s="696"/>
      <c r="T10" s="696"/>
      <c r="U10" s="696"/>
      <c r="V10" s="84"/>
      <c r="W10" s="683"/>
      <c r="X10" s="6"/>
    </row>
    <row r="11" spans="1:24" ht="13.2" hidden="1">
      <c r="A11" s="698"/>
      <c r="B11" s="698"/>
      <c r="C11" s="698"/>
      <c r="D11" s="698"/>
      <c r="E11" s="698"/>
      <c r="F11" s="698"/>
      <c r="G11" s="698"/>
      <c r="H11" s="698"/>
      <c r="I11" s="698"/>
      <c r="J11" s="698"/>
      <c r="K11" s="698"/>
      <c r="L11" s="698"/>
      <c r="M11" s="698"/>
      <c r="N11" s="696"/>
      <c r="O11" s="696"/>
      <c r="P11" s="696"/>
      <c r="Q11" s="696"/>
      <c r="R11" s="696"/>
      <c r="S11" s="696"/>
      <c r="T11" s="696"/>
      <c r="U11" s="696"/>
      <c r="V11" s="84"/>
      <c r="W11" s="84"/>
      <c r="X11" s="6"/>
    </row>
    <row r="12" spans="1:24" ht="15.75" customHeight="1">
      <c r="A12" s="258"/>
      <c r="B12" s="90" t="s">
        <v>505</v>
      </c>
      <c r="C12" s="90"/>
      <c r="D12" s="90"/>
      <c r="E12" s="90"/>
      <c r="F12" s="90" t="s">
        <v>570</v>
      </c>
      <c r="G12" s="90"/>
      <c r="H12" s="90"/>
      <c r="I12" s="90"/>
      <c r="J12" s="90"/>
      <c r="K12" s="90"/>
      <c r="L12" s="90"/>
      <c r="M12" s="259"/>
      <c r="N12" s="264"/>
      <c r="O12" s="265">
        <v>35183000</v>
      </c>
      <c r="P12" s="266"/>
      <c r="Q12" s="265">
        <v>21220997</v>
      </c>
      <c r="R12" s="266"/>
      <c r="S12" s="265">
        <v>-13962003</v>
      </c>
      <c r="T12" s="265"/>
      <c r="U12" s="265"/>
      <c r="V12" s="266"/>
      <c r="W12" s="265" t="s">
        <v>571</v>
      </c>
      <c r="X12" s="6"/>
    </row>
    <row r="13" spans="1:24" ht="15.75" customHeight="1">
      <c r="A13" s="260"/>
      <c r="B13" s="91"/>
      <c r="C13" s="378" t="s">
        <v>507</v>
      </c>
      <c r="D13" s="378"/>
      <c r="E13" s="378"/>
      <c r="F13" s="91"/>
      <c r="G13" s="91" t="s">
        <v>572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14934653</v>
      </c>
      <c r="R13" s="268"/>
      <c r="S13" s="269">
        <v>14934653</v>
      </c>
      <c r="T13" s="269"/>
      <c r="U13" s="269"/>
      <c r="V13" s="268"/>
      <c r="W13" s="268"/>
      <c r="X13" s="6"/>
    </row>
    <row r="14" spans="1:24" ht="15.75" customHeight="1">
      <c r="A14" s="260"/>
      <c r="B14" s="91"/>
      <c r="C14" s="378"/>
      <c r="D14" s="378" t="s">
        <v>573</v>
      </c>
      <c r="E14" s="378"/>
      <c r="F14" s="91"/>
      <c r="G14" s="91"/>
      <c r="H14" s="91"/>
      <c r="I14" s="91" t="s">
        <v>574</v>
      </c>
      <c r="J14" s="91"/>
      <c r="K14" s="91"/>
      <c r="L14" s="91"/>
      <c r="M14" s="261"/>
      <c r="N14" s="267"/>
      <c r="O14" s="268"/>
      <c r="P14" s="268"/>
      <c r="Q14" s="269">
        <v>14669133</v>
      </c>
      <c r="R14" s="268"/>
      <c r="S14" s="269">
        <v>14669133</v>
      </c>
      <c r="T14" s="269"/>
      <c r="U14" s="269"/>
      <c r="V14" s="268"/>
      <c r="W14" s="268"/>
      <c r="X14" s="6"/>
    </row>
    <row r="15" spans="1:24" ht="15.75" customHeight="1">
      <c r="A15" s="260"/>
      <c r="B15" s="91"/>
      <c r="C15" s="378"/>
      <c r="D15" s="378" t="s">
        <v>575</v>
      </c>
      <c r="E15" s="378"/>
      <c r="F15" s="91"/>
      <c r="G15" s="91"/>
      <c r="H15" s="91"/>
      <c r="I15" s="91" t="s">
        <v>576</v>
      </c>
      <c r="J15" s="91"/>
      <c r="K15" s="91"/>
      <c r="L15" s="91"/>
      <c r="M15" s="261"/>
      <c r="N15" s="267"/>
      <c r="O15" s="268"/>
      <c r="P15" s="268"/>
      <c r="Q15" s="269">
        <v>265520</v>
      </c>
      <c r="R15" s="268"/>
      <c r="S15" s="269">
        <v>265520</v>
      </c>
      <c r="T15" s="269"/>
      <c r="U15" s="269"/>
      <c r="V15" s="268"/>
      <c r="W15" s="268"/>
      <c r="X15" s="6"/>
    </row>
    <row r="16" spans="1:24" ht="15.75" customHeight="1">
      <c r="A16" s="260"/>
      <c r="B16" s="91"/>
      <c r="C16" s="378" t="s">
        <v>577</v>
      </c>
      <c r="D16" s="378"/>
      <c r="E16" s="378"/>
      <c r="F16" s="91"/>
      <c r="G16" s="91" t="s">
        <v>578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324800</v>
      </c>
      <c r="R16" s="268"/>
      <c r="S16" s="269">
        <v>324800</v>
      </c>
      <c r="T16" s="269"/>
      <c r="U16" s="269"/>
      <c r="V16" s="268"/>
      <c r="W16" s="268"/>
      <c r="X16" s="6"/>
    </row>
    <row r="17" spans="1:24" ht="15.75" customHeight="1">
      <c r="A17" s="260"/>
      <c r="B17" s="91"/>
      <c r="C17" s="378"/>
      <c r="D17" s="378" t="s">
        <v>579</v>
      </c>
      <c r="E17" s="378"/>
      <c r="F17" s="91"/>
      <c r="G17" s="91"/>
      <c r="H17" s="91"/>
      <c r="I17" s="91" t="s">
        <v>580</v>
      </c>
      <c r="J17" s="91"/>
      <c r="K17" s="91"/>
      <c r="L17" s="91"/>
      <c r="M17" s="261"/>
      <c r="N17" s="267"/>
      <c r="O17" s="268"/>
      <c r="P17" s="268"/>
      <c r="Q17" s="269">
        <v>324800</v>
      </c>
      <c r="R17" s="268"/>
      <c r="S17" s="269">
        <v>324800</v>
      </c>
      <c r="T17" s="269"/>
      <c r="U17" s="269"/>
      <c r="V17" s="268"/>
      <c r="W17" s="268"/>
      <c r="X17" s="6"/>
    </row>
    <row r="18" spans="1:24" ht="15.75" customHeight="1">
      <c r="A18" s="260"/>
      <c r="B18" s="91"/>
      <c r="C18" s="378" t="s">
        <v>581</v>
      </c>
      <c r="D18" s="378"/>
      <c r="E18" s="378"/>
      <c r="F18" s="91"/>
      <c r="G18" s="91" t="s">
        <v>582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3138215</v>
      </c>
      <c r="R18" s="268"/>
      <c r="S18" s="269">
        <v>3138215</v>
      </c>
      <c r="T18" s="269"/>
      <c r="U18" s="269"/>
      <c r="V18" s="268"/>
      <c r="W18" s="268"/>
      <c r="X18" s="6"/>
    </row>
    <row r="19" spans="1:24" ht="15.75" customHeight="1">
      <c r="A19" s="260"/>
      <c r="B19" s="91"/>
      <c r="C19" s="378"/>
      <c r="D19" s="378" t="s">
        <v>583</v>
      </c>
      <c r="E19" s="378"/>
      <c r="F19" s="91"/>
      <c r="G19" s="91"/>
      <c r="H19" s="91"/>
      <c r="I19" s="91" t="s">
        <v>584</v>
      </c>
      <c r="J19" s="91"/>
      <c r="K19" s="91"/>
      <c r="L19" s="91"/>
      <c r="M19" s="261"/>
      <c r="N19" s="267"/>
      <c r="O19" s="268"/>
      <c r="P19" s="268"/>
      <c r="Q19" s="269">
        <v>491660</v>
      </c>
      <c r="R19" s="268"/>
      <c r="S19" s="269">
        <v>491660</v>
      </c>
      <c r="T19" s="269"/>
      <c r="U19" s="269"/>
      <c r="V19" s="268"/>
      <c r="W19" s="268"/>
      <c r="X19" s="6"/>
    </row>
    <row r="20" spans="1:24" ht="15.75" customHeight="1">
      <c r="A20" s="260"/>
      <c r="B20" s="91"/>
      <c r="C20" s="378"/>
      <c r="D20" s="378" t="s">
        <v>585</v>
      </c>
      <c r="E20" s="378"/>
      <c r="F20" s="91"/>
      <c r="G20" s="91"/>
      <c r="H20" s="91"/>
      <c r="I20" s="91" t="s">
        <v>586</v>
      </c>
      <c r="J20" s="91"/>
      <c r="K20" s="91"/>
      <c r="L20" s="91"/>
      <c r="M20" s="261"/>
      <c r="N20" s="267"/>
      <c r="O20" s="268"/>
      <c r="P20" s="268"/>
      <c r="Q20" s="269">
        <v>2646555</v>
      </c>
      <c r="R20" s="268"/>
      <c r="S20" s="269">
        <v>2646555</v>
      </c>
      <c r="T20" s="269"/>
      <c r="U20" s="269"/>
      <c r="V20" s="268"/>
      <c r="W20" s="268"/>
      <c r="X20" s="6"/>
    </row>
    <row r="21" spans="1:24" ht="15.75" customHeight="1">
      <c r="A21" s="260"/>
      <c r="B21" s="91"/>
      <c r="C21" s="378" t="s">
        <v>587</v>
      </c>
      <c r="D21" s="378"/>
      <c r="E21" s="378"/>
      <c r="F21" s="91"/>
      <c r="G21" s="91" t="s">
        <v>588</v>
      </c>
      <c r="H21" s="91"/>
      <c r="I21" s="91"/>
      <c r="J21" s="91"/>
      <c r="K21" s="91"/>
      <c r="L21" s="91"/>
      <c r="M21" s="261"/>
      <c r="N21" s="267"/>
      <c r="O21" s="268"/>
      <c r="P21" s="268"/>
      <c r="Q21" s="269">
        <v>1560175</v>
      </c>
      <c r="R21" s="268"/>
      <c r="S21" s="269">
        <v>1560175</v>
      </c>
      <c r="T21" s="269"/>
      <c r="U21" s="269"/>
      <c r="V21" s="268"/>
      <c r="W21" s="268"/>
      <c r="X21" s="6"/>
    </row>
    <row r="22" spans="1:24" ht="15.75" customHeight="1">
      <c r="A22" s="260"/>
      <c r="B22" s="91"/>
      <c r="C22" s="378"/>
      <c r="D22" s="378" t="s">
        <v>589</v>
      </c>
      <c r="E22" s="378"/>
      <c r="F22" s="91"/>
      <c r="G22" s="91"/>
      <c r="H22" s="91"/>
      <c r="I22" s="91" t="s">
        <v>590</v>
      </c>
      <c r="J22" s="91"/>
      <c r="K22" s="91"/>
      <c r="L22" s="91"/>
      <c r="M22" s="261"/>
      <c r="N22" s="267"/>
      <c r="O22" s="268"/>
      <c r="P22" s="268"/>
      <c r="Q22" s="269">
        <v>1560175</v>
      </c>
      <c r="R22" s="268"/>
      <c r="S22" s="269">
        <v>1560175</v>
      </c>
      <c r="T22" s="269"/>
      <c r="U22" s="269"/>
      <c r="V22" s="268"/>
      <c r="W22" s="268"/>
      <c r="X22" s="6"/>
    </row>
    <row r="23" spans="1:24" ht="15.75" customHeight="1">
      <c r="A23" s="260"/>
      <c r="B23" s="91"/>
      <c r="C23" s="91" t="s">
        <v>591</v>
      </c>
      <c r="D23" s="91"/>
      <c r="E23" s="91"/>
      <c r="F23" s="91"/>
      <c r="G23" s="91" t="s">
        <v>592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1263154</v>
      </c>
      <c r="R23" s="268"/>
      <c r="S23" s="269">
        <v>1263154</v>
      </c>
      <c r="T23" s="269"/>
      <c r="U23" s="269"/>
      <c r="V23" s="268"/>
      <c r="W23" s="268"/>
      <c r="X23" s="6"/>
    </row>
    <row r="24" spans="1:24" ht="15.75" customHeight="1">
      <c r="A24" s="260"/>
      <c r="B24" s="91"/>
      <c r="C24" s="91"/>
      <c r="D24" s="91" t="s">
        <v>593</v>
      </c>
      <c r="E24" s="91"/>
      <c r="F24" s="91"/>
      <c r="G24" s="91"/>
      <c r="H24" s="91"/>
      <c r="I24" s="91" t="s">
        <v>594</v>
      </c>
      <c r="J24" s="91"/>
      <c r="K24" s="91"/>
      <c r="L24" s="91"/>
      <c r="M24" s="261"/>
      <c r="N24" s="267"/>
      <c r="O24" s="268"/>
      <c r="P24" s="268"/>
      <c r="Q24" s="269">
        <v>1231154</v>
      </c>
      <c r="R24" s="268"/>
      <c r="S24" s="269">
        <v>1231154</v>
      </c>
      <c r="T24" s="269"/>
      <c r="U24" s="269"/>
      <c r="V24" s="268"/>
      <c r="W24" s="268"/>
      <c r="X24" s="6"/>
    </row>
    <row r="25" spans="1:24" ht="15.75" customHeight="1">
      <c r="A25" s="260"/>
      <c r="B25" s="91"/>
      <c r="C25" s="91"/>
      <c r="D25" s="91" t="s">
        <v>595</v>
      </c>
      <c r="E25" s="91"/>
      <c r="F25" s="91"/>
      <c r="G25" s="91"/>
      <c r="H25" s="91"/>
      <c r="I25" s="91" t="s">
        <v>596</v>
      </c>
      <c r="J25" s="91"/>
      <c r="K25" s="91"/>
      <c r="L25" s="91"/>
      <c r="M25" s="261"/>
      <c r="N25" s="267"/>
      <c r="O25" s="268"/>
      <c r="P25" s="268"/>
      <c r="Q25" s="269">
        <v>32000</v>
      </c>
      <c r="R25" s="268"/>
      <c r="S25" s="269">
        <v>32000</v>
      </c>
      <c r="T25" s="269"/>
      <c r="U25" s="269"/>
      <c r="V25" s="268"/>
      <c r="W25" s="268"/>
      <c r="X25" s="6"/>
    </row>
    <row r="26" spans="1:24" ht="15.75" customHeight="1">
      <c r="A26" s="260"/>
      <c r="B26" s="91" t="s">
        <v>549</v>
      </c>
      <c r="C26" s="91"/>
      <c r="D26" s="91"/>
      <c r="E26" s="91"/>
      <c r="F26" s="91" t="s">
        <v>597</v>
      </c>
      <c r="G26" s="91"/>
      <c r="H26" s="91"/>
      <c r="I26" s="91"/>
      <c r="J26" s="91"/>
      <c r="K26" s="91"/>
      <c r="L26" s="91"/>
      <c r="M26" s="261"/>
      <c r="N26" s="267"/>
      <c r="O26" s="268">
        <v>1096000</v>
      </c>
      <c r="P26" s="268"/>
      <c r="Q26" s="269">
        <v>572835</v>
      </c>
      <c r="R26" s="268"/>
      <c r="S26" s="269">
        <v>-523165</v>
      </c>
      <c r="T26" s="269"/>
      <c r="U26" s="269"/>
      <c r="V26" s="268"/>
      <c r="W26" s="268" t="s">
        <v>598</v>
      </c>
      <c r="X26" s="6"/>
    </row>
    <row r="27" spans="1:24" ht="15.75" customHeight="1">
      <c r="A27" s="260"/>
      <c r="B27" s="91"/>
      <c r="C27" s="91" t="s">
        <v>551</v>
      </c>
      <c r="D27" s="91"/>
      <c r="E27" s="91"/>
      <c r="F27" s="91"/>
      <c r="G27" s="91" t="s">
        <v>599</v>
      </c>
      <c r="H27" s="91"/>
      <c r="I27" s="91"/>
      <c r="J27" s="91"/>
      <c r="K27" s="91"/>
      <c r="L27" s="91"/>
      <c r="M27" s="261"/>
      <c r="N27" s="267"/>
      <c r="O27" s="268"/>
      <c r="P27" s="268"/>
      <c r="Q27" s="269">
        <v>121301</v>
      </c>
      <c r="R27" s="268"/>
      <c r="S27" s="269">
        <v>121301</v>
      </c>
      <c r="T27" s="269"/>
      <c r="U27" s="269"/>
      <c r="V27" s="268"/>
      <c r="W27" s="268"/>
      <c r="X27" s="6"/>
    </row>
    <row r="28" spans="1:24" ht="15.75" customHeight="1">
      <c r="A28" s="260"/>
      <c r="B28" s="91"/>
      <c r="C28" s="91"/>
      <c r="D28" s="91" t="s">
        <v>600</v>
      </c>
      <c r="E28" s="91"/>
      <c r="F28" s="91"/>
      <c r="G28" s="91"/>
      <c r="H28" s="91"/>
      <c r="I28" s="91" t="s">
        <v>601</v>
      </c>
      <c r="J28" s="91"/>
      <c r="K28" s="91"/>
      <c r="L28" s="91"/>
      <c r="M28" s="261"/>
      <c r="N28" s="267"/>
      <c r="O28" s="269"/>
      <c r="P28" s="268"/>
      <c r="Q28" s="269">
        <v>96884</v>
      </c>
      <c r="R28" s="268"/>
      <c r="S28" s="269">
        <v>96884</v>
      </c>
      <c r="T28" s="269"/>
      <c r="U28" s="269"/>
      <c r="V28" s="268"/>
      <c r="W28" s="269"/>
      <c r="X28" s="6"/>
    </row>
    <row r="29" spans="1:24" ht="15.75" customHeight="1">
      <c r="A29" s="260"/>
      <c r="B29" s="91"/>
      <c r="C29" s="91"/>
      <c r="D29" s="91" t="s">
        <v>602</v>
      </c>
      <c r="E29" s="91"/>
      <c r="F29" s="91"/>
      <c r="G29" s="91"/>
      <c r="H29" s="91"/>
      <c r="I29" s="91" t="s">
        <v>603</v>
      </c>
      <c r="J29" s="91"/>
      <c r="K29" s="91"/>
      <c r="L29" s="91"/>
      <c r="M29" s="261"/>
      <c r="N29" s="267"/>
      <c r="O29" s="268"/>
      <c r="P29" s="268"/>
      <c r="Q29" s="269">
        <v>24417</v>
      </c>
      <c r="R29" s="268"/>
      <c r="S29" s="269">
        <v>24417</v>
      </c>
      <c r="T29" s="269"/>
      <c r="U29" s="269"/>
      <c r="V29" s="268"/>
      <c r="W29" s="268"/>
      <c r="X29" s="6"/>
    </row>
    <row r="30" spans="1:24" ht="15.75" customHeight="1">
      <c r="A30" s="260"/>
      <c r="B30" s="91"/>
      <c r="C30" s="91" t="s">
        <v>604</v>
      </c>
      <c r="D30" s="91"/>
      <c r="E30" s="91"/>
      <c r="F30" s="91"/>
      <c r="G30" s="91" t="s">
        <v>605</v>
      </c>
      <c r="H30" s="91"/>
      <c r="I30" s="91"/>
      <c r="J30" s="91"/>
      <c r="K30" s="91"/>
      <c r="L30" s="91"/>
      <c r="M30" s="261"/>
      <c r="N30" s="267"/>
      <c r="O30" s="268"/>
      <c r="P30" s="268"/>
      <c r="Q30" s="269">
        <v>19210</v>
      </c>
      <c r="R30" s="268"/>
      <c r="S30" s="269">
        <v>19210</v>
      </c>
      <c r="T30" s="269"/>
      <c r="U30" s="269"/>
      <c r="V30" s="268"/>
      <c r="W30" s="268"/>
      <c r="X30" s="6"/>
    </row>
    <row r="31" spans="1:24" ht="15.75" customHeight="1">
      <c r="A31" s="260"/>
      <c r="B31" s="91"/>
      <c r="C31" s="91"/>
      <c r="D31" s="91" t="s">
        <v>606</v>
      </c>
      <c r="E31" s="91"/>
      <c r="F31" s="91"/>
      <c r="G31" s="91"/>
      <c r="H31" s="91"/>
      <c r="I31" s="91" t="s">
        <v>607</v>
      </c>
      <c r="J31" s="91"/>
      <c r="K31" s="91"/>
      <c r="L31" s="91"/>
      <c r="M31" s="261"/>
      <c r="N31" s="267"/>
      <c r="O31" s="268"/>
      <c r="P31" s="268"/>
      <c r="Q31" s="269">
        <v>4566</v>
      </c>
      <c r="R31" s="268"/>
      <c r="S31" s="269">
        <v>4566</v>
      </c>
      <c r="T31" s="269"/>
      <c r="U31" s="269"/>
      <c r="V31" s="268"/>
      <c r="W31" s="268"/>
      <c r="X31" s="6"/>
    </row>
    <row r="32" spans="1:24" ht="15.75" customHeight="1">
      <c r="A32" s="260"/>
      <c r="B32" s="91"/>
      <c r="C32" s="91"/>
      <c r="D32" s="91" t="s">
        <v>608</v>
      </c>
      <c r="E32" s="91"/>
      <c r="F32" s="91"/>
      <c r="G32" s="91"/>
      <c r="H32" s="91"/>
      <c r="I32" s="91" t="s">
        <v>609</v>
      </c>
      <c r="J32" s="91"/>
      <c r="K32" s="91"/>
      <c r="L32" s="91"/>
      <c r="M32" s="261"/>
      <c r="N32" s="267"/>
      <c r="O32" s="268"/>
      <c r="P32" s="268"/>
      <c r="Q32" s="269">
        <v>14644</v>
      </c>
      <c r="R32" s="268"/>
      <c r="S32" s="269">
        <v>14644</v>
      </c>
      <c r="T32" s="269"/>
      <c r="U32" s="269"/>
      <c r="V32" s="268"/>
      <c r="W32" s="268"/>
      <c r="X32" s="6"/>
    </row>
    <row r="33" spans="1:24" ht="15.75" customHeight="1">
      <c r="A33" s="260"/>
      <c r="B33" s="91"/>
      <c r="C33" s="91" t="s">
        <v>610</v>
      </c>
      <c r="D33" s="91"/>
      <c r="E33" s="91"/>
      <c r="F33" s="91"/>
      <c r="G33" s="91" t="s">
        <v>611</v>
      </c>
      <c r="H33" s="91"/>
      <c r="I33" s="91"/>
      <c r="J33" s="91"/>
      <c r="K33" s="91"/>
      <c r="L33" s="91"/>
      <c r="M33" s="261"/>
      <c r="N33" s="267"/>
      <c r="O33" s="268"/>
      <c r="P33" s="268"/>
      <c r="Q33" s="269">
        <v>30</v>
      </c>
      <c r="R33" s="268"/>
      <c r="S33" s="269">
        <v>30</v>
      </c>
      <c r="T33" s="269"/>
      <c r="U33" s="269"/>
      <c r="V33" s="268"/>
      <c r="W33" s="268"/>
      <c r="X33" s="6"/>
    </row>
    <row r="34" spans="1:24" ht="15.75" customHeight="1">
      <c r="A34" s="260"/>
      <c r="B34" s="91"/>
      <c r="C34" s="91"/>
      <c r="D34" s="91" t="s">
        <v>612</v>
      </c>
      <c r="E34" s="91"/>
      <c r="F34" s="91"/>
      <c r="G34" s="91"/>
      <c r="H34" s="91"/>
      <c r="I34" s="91" t="s">
        <v>613</v>
      </c>
      <c r="J34" s="91"/>
      <c r="K34" s="91"/>
      <c r="L34" s="91"/>
      <c r="M34" s="261"/>
      <c r="N34" s="267"/>
      <c r="O34" s="268"/>
      <c r="P34" s="268"/>
      <c r="Q34" s="269">
        <v>30</v>
      </c>
      <c r="R34" s="268"/>
      <c r="S34" s="269">
        <v>30</v>
      </c>
      <c r="T34" s="269"/>
      <c r="U34" s="269"/>
      <c r="V34" s="268"/>
      <c r="W34" s="268"/>
      <c r="X34" s="6"/>
    </row>
    <row r="35" spans="1:24" ht="15.75" customHeight="1">
      <c r="A35" s="260"/>
      <c r="B35" s="91"/>
      <c r="C35" s="91" t="s">
        <v>614</v>
      </c>
      <c r="D35" s="91"/>
      <c r="E35" s="91"/>
      <c r="F35" s="91"/>
      <c r="G35" s="91" t="s">
        <v>615</v>
      </c>
      <c r="H35" s="91"/>
      <c r="I35" s="91"/>
      <c r="J35" s="91"/>
      <c r="K35" s="91"/>
      <c r="L35" s="91"/>
      <c r="M35" s="261"/>
      <c r="N35" s="267"/>
      <c r="O35" s="268"/>
      <c r="P35" s="268"/>
      <c r="Q35" s="269">
        <v>23005</v>
      </c>
      <c r="R35" s="268"/>
      <c r="S35" s="269">
        <v>23005</v>
      </c>
      <c r="T35" s="269"/>
      <c r="U35" s="269"/>
      <c r="V35" s="268"/>
      <c r="W35" s="268"/>
      <c r="X35" s="6"/>
    </row>
    <row r="36" spans="1:24" ht="15.6" customHeight="1">
      <c r="A36" s="262"/>
      <c r="B36" s="92"/>
      <c r="C36" s="92"/>
      <c r="D36" s="92" t="s">
        <v>616</v>
      </c>
      <c r="E36" s="92"/>
      <c r="F36" s="92"/>
      <c r="G36" s="92"/>
      <c r="H36" s="92"/>
      <c r="I36" s="92" t="s">
        <v>617</v>
      </c>
      <c r="J36" s="92"/>
      <c r="K36" s="92"/>
      <c r="L36" s="92"/>
      <c r="M36" s="263"/>
      <c r="N36" s="270"/>
      <c r="O36" s="271"/>
      <c r="P36" s="271"/>
      <c r="Q36" s="272">
        <v>23005</v>
      </c>
      <c r="R36" s="271"/>
      <c r="S36" s="272">
        <v>23005</v>
      </c>
      <c r="T36" s="272"/>
      <c r="U36" s="272"/>
      <c r="V36" s="271"/>
      <c r="W36" s="271"/>
      <c r="X36" s="6"/>
    </row>
    <row r="37" spans="1:24" ht="15.75" customHeight="1">
      <c r="A37" s="258"/>
      <c r="B37" s="90"/>
      <c r="C37" s="90" t="s">
        <v>618</v>
      </c>
      <c r="D37" s="90"/>
      <c r="E37" s="90"/>
      <c r="F37" s="90"/>
      <c r="G37" s="90" t="s">
        <v>619</v>
      </c>
      <c r="H37" s="90"/>
      <c r="I37" s="90"/>
      <c r="J37" s="90"/>
      <c r="K37" s="90"/>
      <c r="L37" s="90"/>
      <c r="M37" s="259"/>
      <c r="N37" s="264"/>
      <c r="O37" s="266"/>
      <c r="P37" s="266"/>
      <c r="Q37" s="265">
        <v>99225</v>
      </c>
      <c r="R37" s="266"/>
      <c r="S37" s="265">
        <v>99225</v>
      </c>
      <c r="T37" s="265"/>
      <c r="U37" s="265"/>
      <c r="V37" s="266"/>
      <c r="W37" s="266"/>
      <c r="X37" s="6"/>
    </row>
    <row r="38" spans="1:24" ht="15.75" customHeight="1">
      <c r="A38" s="260"/>
      <c r="B38" s="91"/>
      <c r="C38" s="91"/>
      <c r="D38" s="91" t="s">
        <v>620</v>
      </c>
      <c r="E38" s="91"/>
      <c r="F38" s="91"/>
      <c r="G38" s="91"/>
      <c r="H38" s="91"/>
      <c r="I38" s="91" t="s">
        <v>621</v>
      </c>
      <c r="J38" s="91"/>
      <c r="K38" s="91"/>
      <c r="L38" s="91"/>
      <c r="M38" s="261"/>
      <c r="N38" s="267"/>
      <c r="O38" s="268"/>
      <c r="P38" s="268"/>
      <c r="Q38" s="269">
        <v>36890</v>
      </c>
      <c r="R38" s="268"/>
      <c r="S38" s="269">
        <v>36890</v>
      </c>
      <c r="T38" s="269"/>
      <c r="U38" s="269"/>
      <c r="V38" s="268"/>
      <c r="W38" s="268"/>
      <c r="X38" s="6"/>
    </row>
    <row r="39" spans="1:24" ht="15.75" customHeight="1">
      <c r="A39" s="260"/>
      <c r="B39" s="91"/>
      <c r="C39" s="91"/>
      <c r="D39" s="91" t="s">
        <v>622</v>
      </c>
      <c r="E39" s="91"/>
      <c r="F39" s="91"/>
      <c r="G39" s="91"/>
      <c r="H39" s="91"/>
      <c r="I39" s="91" t="s">
        <v>623</v>
      </c>
      <c r="J39" s="91"/>
      <c r="K39" s="91"/>
      <c r="L39" s="91"/>
      <c r="M39" s="261"/>
      <c r="N39" s="267"/>
      <c r="O39" s="268"/>
      <c r="P39" s="268"/>
      <c r="Q39" s="269">
        <v>19700</v>
      </c>
      <c r="R39" s="268"/>
      <c r="S39" s="269">
        <v>19700</v>
      </c>
      <c r="T39" s="269"/>
      <c r="U39" s="269"/>
      <c r="V39" s="268"/>
      <c r="W39" s="268"/>
      <c r="X39" s="6"/>
    </row>
    <row r="40" spans="1:24" ht="15.75" customHeight="1">
      <c r="A40" s="260"/>
      <c r="B40" s="91"/>
      <c r="C40" s="91"/>
      <c r="D40" s="91" t="s">
        <v>624</v>
      </c>
      <c r="E40" s="91"/>
      <c r="F40" s="91"/>
      <c r="G40" s="91"/>
      <c r="H40" s="91"/>
      <c r="I40" s="91" t="s">
        <v>625</v>
      </c>
      <c r="J40" s="91"/>
      <c r="K40" s="91"/>
      <c r="L40" s="91"/>
      <c r="M40" s="261"/>
      <c r="N40" s="267"/>
      <c r="O40" s="268"/>
      <c r="P40" s="268"/>
      <c r="Q40" s="269">
        <v>42635</v>
      </c>
      <c r="R40" s="268"/>
      <c r="S40" s="269">
        <v>42635</v>
      </c>
      <c r="T40" s="269"/>
      <c r="U40" s="269"/>
      <c r="V40" s="268"/>
      <c r="W40" s="268"/>
      <c r="X40" s="6"/>
    </row>
    <row r="41" spans="1:24" ht="15.75" customHeight="1">
      <c r="A41" s="260"/>
      <c r="B41" s="91"/>
      <c r="C41" s="91" t="s">
        <v>626</v>
      </c>
      <c r="D41" s="91"/>
      <c r="E41" s="91"/>
      <c r="F41" s="91"/>
      <c r="G41" s="91" t="s">
        <v>627</v>
      </c>
      <c r="H41" s="91"/>
      <c r="I41" s="91"/>
      <c r="J41" s="91"/>
      <c r="K41" s="91"/>
      <c r="L41" s="91"/>
      <c r="M41" s="261"/>
      <c r="N41" s="267"/>
      <c r="O41" s="268"/>
      <c r="P41" s="268"/>
      <c r="Q41" s="269">
        <v>239375</v>
      </c>
      <c r="R41" s="268"/>
      <c r="S41" s="269">
        <v>239375</v>
      </c>
      <c r="T41" s="269"/>
      <c r="U41" s="269"/>
      <c r="V41" s="268"/>
      <c r="W41" s="268"/>
      <c r="X41" s="6"/>
    </row>
    <row r="42" spans="1:24" ht="15.75" customHeight="1">
      <c r="A42" s="260"/>
      <c r="B42" s="91"/>
      <c r="C42" s="91"/>
      <c r="D42" s="91" t="s">
        <v>628</v>
      </c>
      <c r="E42" s="91"/>
      <c r="F42" s="91"/>
      <c r="G42" s="91"/>
      <c r="H42" s="91"/>
      <c r="I42" s="91" t="s">
        <v>629</v>
      </c>
      <c r="J42" s="91"/>
      <c r="K42" s="91"/>
      <c r="L42" s="91"/>
      <c r="M42" s="261"/>
      <c r="N42" s="267"/>
      <c r="O42" s="268"/>
      <c r="P42" s="268"/>
      <c r="Q42" s="269">
        <v>219375</v>
      </c>
      <c r="R42" s="268"/>
      <c r="S42" s="269">
        <v>219375</v>
      </c>
      <c r="T42" s="269"/>
      <c r="U42" s="269"/>
      <c r="V42" s="268"/>
      <c r="W42" s="268"/>
      <c r="X42" s="6"/>
    </row>
    <row r="43" spans="1:24" ht="15.75" customHeight="1">
      <c r="A43" s="260"/>
      <c r="B43" s="91"/>
      <c r="C43" s="91"/>
      <c r="D43" s="91" t="s">
        <v>630</v>
      </c>
      <c r="E43" s="91"/>
      <c r="F43" s="91"/>
      <c r="G43" s="91"/>
      <c r="H43" s="91"/>
      <c r="I43" s="91" t="s">
        <v>631</v>
      </c>
      <c r="J43" s="91"/>
      <c r="K43" s="91"/>
      <c r="L43" s="91"/>
      <c r="M43" s="261"/>
      <c r="N43" s="267"/>
      <c r="O43" s="268"/>
      <c r="P43" s="268"/>
      <c r="Q43" s="269">
        <v>20000</v>
      </c>
      <c r="R43" s="268"/>
      <c r="S43" s="269">
        <v>20000</v>
      </c>
      <c r="T43" s="269"/>
      <c r="U43" s="269"/>
      <c r="V43" s="268"/>
      <c r="W43" s="268"/>
      <c r="X43" s="6"/>
    </row>
    <row r="44" spans="1:24" ht="15.75" customHeight="1">
      <c r="A44" s="260"/>
      <c r="B44" s="91"/>
      <c r="C44" s="91" t="s">
        <v>557</v>
      </c>
      <c r="D44" s="91"/>
      <c r="E44" s="91"/>
      <c r="F44" s="91"/>
      <c r="G44" s="91" t="s">
        <v>632</v>
      </c>
      <c r="H44" s="91"/>
      <c r="I44" s="91"/>
      <c r="J44" s="91"/>
      <c r="K44" s="91"/>
      <c r="L44" s="91"/>
      <c r="M44" s="261"/>
      <c r="N44" s="267"/>
      <c r="O44" s="268"/>
      <c r="P44" s="268"/>
      <c r="Q44" s="269">
        <v>50660</v>
      </c>
      <c r="R44" s="268"/>
      <c r="S44" s="269">
        <v>50660</v>
      </c>
      <c r="T44" s="269"/>
      <c r="U44" s="269"/>
      <c r="V44" s="268"/>
      <c r="W44" s="268"/>
      <c r="X44" s="6"/>
    </row>
    <row r="45" spans="1:24" ht="15.75" customHeight="1">
      <c r="A45" s="260"/>
      <c r="B45" s="91"/>
      <c r="C45" s="91"/>
      <c r="D45" s="91" t="s">
        <v>633</v>
      </c>
      <c r="E45" s="91"/>
      <c r="F45" s="91"/>
      <c r="G45" s="91"/>
      <c r="H45" s="91"/>
      <c r="I45" s="91" t="s">
        <v>634</v>
      </c>
      <c r="J45" s="91"/>
      <c r="K45" s="91"/>
      <c r="L45" s="91"/>
      <c r="M45" s="261"/>
      <c r="N45" s="267"/>
      <c r="O45" s="268"/>
      <c r="P45" s="268"/>
      <c r="Q45" s="269">
        <v>17660</v>
      </c>
      <c r="R45" s="268"/>
      <c r="S45" s="269">
        <v>17660</v>
      </c>
      <c r="T45" s="269"/>
      <c r="U45" s="269"/>
      <c r="V45" s="268"/>
      <c r="W45" s="268"/>
      <c r="X45" s="6"/>
    </row>
    <row r="46" spans="1:24" ht="15.75" customHeight="1">
      <c r="A46" s="260"/>
      <c r="B46" s="91"/>
      <c r="C46" s="91"/>
      <c r="D46" s="91" t="s">
        <v>635</v>
      </c>
      <c r="E46" s="91"/>
      <c r="F46" s="91"/>
      <c r="G46" s="91"/>
      <c r="H46" s="91"/>
      <c r="I46" s="91" t="s">
        <v>636</v>
      </c>
      <c r="J46" s="91"/>
      <c r="K46" s="91"/>
      <c r="L46" s="91"/>
      <c r="M46" s="261"/>
      <c r="N46" s="267"/>
      <c r="O46" s="268"/>
      <c r="P46" s="268"/>
      <c r="Q46" s="269">
        <v>33000</v>
      </c>
      <c r="R46" s="268"/>
      <c r="S46" s="269">
        <v>33000</v>
      </c>
      <c r="T46" s="269"/>
      <c r="U46" s="269"/>
      <c r="V46" s="268"/>
      <c r="W46" s="268"/>
      <c r="X46" s="6"/>
    </row>
    <row r="47" spans="1:24" ht="15.75" customHeight="1">
      <c r="A47" s="260"/>
      <c r="B47" s="91"/>
      <c r="C47" s="91" t="s">
        <v>637</v>
      </c>
      <c r="D47" s="91"/>
      <c r="E47" s="91"/>
      <c r="F47" s="91"/>
      <c r="G47" s="91" t="s">
        <v>638</v>
      </c>
      <c r="H47" s="91"/>
      <c r="I47" s="91"/>
      <c r="J47" s="91"/>
      <c r="K47" s="91"/>
      <c r="L47" s="91"/>
      <c r="M47" s="261"/>
      <c r="N47" s="267"/>
      <c r="O47" s="268"/>
      <c r="P47" s="268"/>
      <c r="Q47" s="269">
        <v>20029</v>
      </c>
      <c r="R47" s="268"/>
      <c r="S47" s="269">
        <v>20029</v>
      </c>
      <c r="T47" s="269"/>
      <c r="U47" s="269"/>
      <c r="V47" s="268"/>
      <c r="W47" s="268"/>
      <c r="X47" s="6"/>
    </row>
    <row r="48" spans="1:24" ht="15.75" customHeight="1">
      <c r="A48" s="260"/>
      <c r="B48" s="91"/>
      <c r="C48" s="91"/>
      <c r="D48" s="91" t="s">
        <v>639</v>
      </c>
      <c r="E48" s="91"/>
      <c r="F48" s="91"/>
      <c r="G48" s="91"/>
      <c r="H48" s="91"/>
      <c r="I48" s="91" t="s">
        <v>638</v>
      </c>
      <c r="J48" s="91"/>
      <c r="K48" s="91"/>
      <c r="L48" s="91"/>
      <c r="M48" s="261"/>
      <c r="N48" s="267"/>
      <c r="O48" s="268"/>
      <c r="P48" s="268"/>
      <c r="Q48" s="269">
        <v>20029</v>
      </c>
      <c r="R48" s="268"/>
      <c r="S48" s="269">
        <v>20029</v>
      </c>
      <c r="T48" s="269"/>
      <c r="U48" s="269"/>
      <c r="V48" s="268"/>
      <c r="W48" s="268"/>
      <c r="X48" s="6"/>
    </row>
    <row r="49" spans="1:24" ht="15.75" customHeight="1">
      <c r="A49" s="260"/>
      <c r="B49" s="91" t="s">
        <v>563</v>
      </c>
      <c r="C49" s="91"/>
      <c r="D49" s="91"/>
      <c r="E49" s="91"/>
      <c r="F49" s="91" t="s">
        <v>640</v>
      </c>
      <c r="G49" s="91"/>
      <c r="H49" s="91"/>
      <c r="I49" s="91"/>
      <c r="J49" s="91"/>
      <c r="K49" s="91"/>
      <c r="L49" s="91"/>
      <c r="M49" s="261"/>
      <c r="N49" s="267"/>
      <c r="O49" s="268">
        <v>287000</v>
      </c>
      <c r="P49" s="268"/>
      <c r="Q49" s="269">
        <v>77560</v>
      </c>
      <c r="R49" s="268"/>
      <c r="S49" s="269">
        <v>-209440</v>
      </c>
      <c r="T49" s="269"/>
      <c r="U49" s="269"/>
      <c r="V49" s="268"/>
      <c r="W49" s="268" t="s">
        <v>641</v>
      </c>
      <c r="X49" s="6"/>
    </row>
    <row r="50" spans="1:24" ht="15.75" customHeight="1">
      <c r="A50" s="260"/>
      <c r="B50" s="91"/>
      <c r="C50" s="91" t="s">
        <v>642</v>
      </c>
      <c r="D50" s="91"/>
      <c r="E50" s="91"/>
      <c r="F50" s="91"/>
      <c r="G50" s="91" t="s">
        <v>643</v>
      </c>
      <c r="H50" s="91"/>
      <c r="I50" s="91"/>
      <c r="J50" s="91"/>
      <c r="K50" s="91"/>
      <c r="L50" s="91"/>
      <c r="M50" s="261"/>
      <c r="N50" s="267"/>
      <c r="O50" s="268"/>
      <c r="P50" s="268"/>
      <c r="Q50" s="269">
        <v>77560</v>
      </c>
      <c r="R50" s="268"/>
      <c r="S50" s="269">
        <v>77560</v>
      </c>
      <c r="T50" s="269"/>
      <c r="U50" s="269"/>
      <c r="V50" s="268"/>
      <c r="W50" s="268"/>
      <c r="X50" s="6"/>
    </row>
    <row r="51" spans="1:24" ht="15.75" customHeight="1">
      <c r="A51" s="260"/>
      <c r="B51" s="91"/>
      <c r="C51" s="91"/>
      <c r="D51" s="91" t="s">
        <v>644</v>
      </c>
      <c r="E51" s="91"/>
      <c r="F51" s="91"/>
      <c r="G51" s="91"/>
      <c r="H51" s="91"/>
      <c r="I51" s="91" t="s">
        <v>645</v>
      </c>
      <c r="J51" s="91"/>
      <c r="K51" s="91"/>
      <c r="L51" s="91"/>
      <c r="M51" s="261"/>
      <c r="N51" s="267"/>
      <c r="O51" s="268"/>
      <c r="P51" s="268"/>
      <c r="Q51" s="269">
        <v>13489</v>
      </c>
      <c r="R51" s="268"/>
      <c r="S51" s="269">
        <v>13489</v>
      </c>
      <c r="T51" s="269"/>
      <c r="U51" s="269"/>
      <c r="V51" s="268"/>
      <c r="W51" s="268"/>
      <c r="X51" s="6"/>
    </row>
    <row r="52" spans="1:24" ht="15.75" customHeight="1">
      <c r="A52" s="260"/>
      <c r="B52" s="91"/>
      <c r="C52" s="91"/>
      <c r="D52" s="91" t="s">
        <v>646</v>
      </c>
      <c r="E52" s="91"/>
      <c r="F52" s="91"/>
      <c r="G52" s="91"/>
      <c r="H52" s="91"/>
      <c r="I52" s="91" t="s">
        <v>647</v>
      </c>
      <c r="J52" s="91"/>
      <c r="K52" s="91"/>
      <c r="L52" s="91"/>
      <c r="M52" s="261"/>
      <c r="N52" s="267"/>
      <c r="O52" s="268"/>
      <c r="P52" s="268"/>
      <c r="Q52" s="269">
        <v>26967</v>
      </c>
      <c r="R52" s="268"/>
      <c r="S52" s="269">
        <v>26967</v>
      </c>
      <c r="T52" s="269"/>
      <c r="U52" s="269"/>
      <c r="V52" s="268"/>
      <c r="W52" s="268"/>
      <c r="X52" s="6"/>
    </row>
    <row r="53" spans="1:24" ht="15.75" customHeight="1">
      <c r="A53" s="260"/>
      <c r="B53" s="91"/>
      <c r="C53" s="91"/>
      <c r="D53" s="91" t="s">
        <v>648</v>
      </c>
      <c r="E53" s="91"/>
      <c r="F53" s="91"/>
      <c r="G53" s="91"/>
      <c r="H53" s="91"/>
      <c r="I53" s="91" t="s">
        <v>649</v>
      </c>
      <c r="J53" s="91"/>
      <c r="K53" s="91"/>
      <c r="L53" s="91"/>
      <c r="M53" s="261"/>
      <c r="N53" s="267"/>
      <c r="O53" s="269"/>
      <c r="P53" s="268"/>
      <c r="Q53" s="269">
        <v>13005</v>
      </c>
      <c r="R53" s="268"/>
      <c r="S53" s="269">
        <v>13005</v>
      </c>
      <c r="T53" s="269"/>
      <c r="U53" s="269"/>
      <c r="V53" s="268"/>
      <c r="W53" s="269"/>
      <c r="X53" s="6"/>
    </row>
    <row r="54" spans="1:24" ht="15.75" customHeight="1">
      <c r="A54" s="260"/>
      <c r="B54" s="91"/>
      <c r="C54" s="91"/>
      <c r="D54" s="91" t="s">
        <v>650</v>
      </c>
      <c r="E54" s="91"/>
      <c r="F54" s="91"/>
      <c r="G54" s="91"/>
      <c r="H54" s="91"/>
      <c r="I54" s="91" t="s">
        <v>651</v>
      </c>
      <c r="J54" s="91"/>
      <c r="K54" s="91"/>
      <c r="L54" s="91"/>
      <c r="M54" s="261"/>
      <c r="N54" s="267"/>
      <c r="O54" s="268"/>
      <c r="P54" s="268"/>
      <c r="Q54" s="269">
        <v>24099</v>
      </c>
      <c r="R54" s="268"/>
      <c r="S54" s="269">
        <v>24099</v>
      </c>
      <c r="T54" s="269"/>
      <c r="U54" s="269"/>
      <c r="V54" s="268"/>
      <c r="W54" s="268"/>
      <c r="X54" s="6"/>
    </row>
    <row r="55" spans="1:24" ht="15.75" customHeight="1">
      <c r="A55" s="260"/>
      <c r="B55" s="91" t="s">
        <v>499</v>
      </c>
      <c r="C55" s="91"/>
      <c r="D55" s="91"/>
      <c r="E55" s="91"/>
      <c r="F55" s="91" t="s">
        <v>652</v>
      </c>
      <c r="G55" s="91"/>
      <c r="H55" s="91"/>
      <c r="I55" s="91"/>
      <c r="J55" s="91"/>
      <c r="K55" s="91"/>
      <c r="L55" s="91"/>
      <c r="M55" s="261"/>
      <c r="N55" s="267"/>
      <c r="O55" s="268">
        <v>375000</v>
      </c>
      <c r="P55" s="268"/>
      <c r="Q55" s="269">
        <v>346241</v>
      </c>
      <c r="R55" s="268"/>
      <c r="S55" s="269">
        <v>-28759</v>
      </c>
      <c r="T55" s="269"/>
      <c r="U55" s="269"/>
      <c r="V55" s="268"/>
      <c r="W55" s="268" t="s">
        <v>653</v>
      </c>
      <c r="X55" s="6"/>
    </row>
    <row r="56" spans="1:24" ht="15.75" customHeight="1">
      <c r="A56" s="260"/>
      <c r="B56" s="91"/>
      <c r="C56" s="91" t="s">
        <v>654</v>
      </c>
      <c r="D56" s="91"/>
      <c r="E56" s="91"/>
      <c r="F56" s="91"/>
      <c r="G56" s="91" t="s">
        <v>655</v>
      </c>
      <c r="H56" s="91"/>
      <c r="I56" s="91"/>
      <c r="J56" s="91"/>
      <c r="K56" s="91"/>
      <c r="L56" s="91"/>
      <c r="M56" s="261"/>
      <c r="N56" s="267"/>
      <c r="O56" s="268"/>
      <c r="P56" s="268"/>
      <c r="Q56" s="269">
        <v>295000</v>
      </c>
      <c r="R56" s="268"/>
      <c r="S56" s="269">
        <v>295000</v>
      </c>
      <c r="T56" s="269"/>
      <c r="U56" s="269"/>
      <c r="V56" s="268"/>
      <c r="W56" s="268"/>
      <c r="X56" s="6"/>
    </row>
    <row r="57" spans="1:24" ht="15.75" customHeight="1">
      <c r="A57" s="260"/>
      <c r="B57" s="91"/>
      <c r="C57" s="91"/>
      <c r="D57" s="91" t="s">
        <v>656</v>
      </c>
      <c r="E57" s="91"/>
      <c r="F57" s="91"/>
      <c r="G57" s="91"/>
      <c r="H57" s="91"/>
      <c r="I57" s="91" t="s">
        <v>657</v>
      </c>
      <c r="J57" s="91"/>
      <c r="K57" s="91"/>
      <c r="L57" s="91"/>
      <c r="M57" s="261"/>
      <c r="N57" s="267"/>
      <c r="O57" s="268"/>
      <c r="P57" s="268"/>
      <c r="Q57" s="269">
        <v>295000</v>
      </c>
      <c r="R57" s="268"/>
      <c r="S57" s="269">
        <v>295000</v>
      </c>
      <c r="T57" s="269"/>
      <c r="U57" s="269"/>
      <c r="V57" s="268"/>
      <c r="W57" s="268"/>
      <c r="X57" s="6"/>
    </row>
    <row r="58" spans="1:24" ht="15.75" customHeight="1">
      <c r="A58" s="260"/>
      <c r="B58" s="91"/>
      <c r="C58" s="91" t="s">
        <v>500</v>
      </c>
      <c r="D58" s="91"/>
      <c r="E58" s="91"/>
      <c r="F58" s="91"/>
      <c r="G58" s="91" t="s">
        <v>658</v>
      </c>
      <c r="H58" s="91"/>
      <c r="I58" s="91"/>
      <c r="J58" s="91"/>
      <c r="K58" s="91"/>
      <c r="L58" s="91"/>
      <c r="M58" s="261"/>
      <c r="N58" s="267"/>
      <c r="O58" s="268"/>
      <c r="P58" s="268"/>
      <c r="Q58" s="269">
        <v>51241</v>
      </c>
      <c r="R58" s="268"/>
      <c r="S58" s="269">
        <v>51241</v>
      </c>
      <c r="T58" s="269"/>
      <c r="U58" s="269"/>
      <c r="V58" s="268"/>
      <c r="W58" s="268"/>
      <c r="X58" s="6"/>
    </row>
    <row r="59" spans="1:24" ht="15.75" customHeight="1">
      <c r="A59" s="260"/>
      <c r="B59" s="91"/>
      <c r="C59" s="91"/>
      <c r="D59" s="91" t="s">
        <v>659</v>
      </c>
      <c r="E59" s="91"/>
      <c r="F59" s="91"/>
      <c r="G59" s="91"/>
      <c r="H59" s="91"/>
      <c r="I59" s="91" t="s">
        <v>658</v>
      </c>
      <c r="J59" s="91"/>
      <c r="K59" s="91"/>
      <c r="L59" s="91"/>
      <c r="M59" s="261"/>
      <c r="N59" s="267"/>
      <c r="O59" s="268"/>
      <c r="P59" s="268"/>
      <c r="Q59" s="269">
        <v>51241</v>
      </c>
      <c r="R59" s="268"/>
      <c r="S59" s="269">
        <v>51241</v>
      </c>
      <c r="T59" s="269"/>
      <c r="U59" s="269"/>
      <c r="V59" s="268"/>
      <c r="W59" s="268"/>
      <c r="X59" s="6"/>
    </row>
    <row r="60" spans="1:24" ht="15.75" customHeight="1">
      <c r="A60" s="260"/>
      <c r="B60" s="91" t="s">
        <v>501</v>
      </c>
      <c r="C60" s="91"/>
      <c r="D60" s="91"/>
      <c r="E60" s="91"/>
      <c r="F60" s="91" t="s">
        <v>660</v>
      </c>
      <c r="G60" s="91"/>
      <c r="H60" s="91"/>
      <c r="I60" s="91"/>
      <c r="J60" s="91"/>
      <c r="K60" s="91"/>
      <c r="L60" s="91"/>
      <c r="M60" s="261"/>
      <c r="N60" s="267"/>
      <c r="O60" s="268">
        <v>0</v>
      </c>
      <c r="P60" s="268"/>
      <c r="Q60" s="269">
        <v>80</v>
      </c>
      <c r="R60" s="268"/>
      <c r="S60" s="269">
        <v>80</v>
      </c>
      <c r="T60" s="269"/>
      <c r="U60" s="269"/>
      <c r="V60" s="268"/>
      <c r="W60" s="268"/>
      <c r="X60" s="6"/>
    </row>
    <row r="61" spans="1:24" ht="15.75" customHeight="1">
      <c r="A61" s="262"/>
      <c r="B61" s="92"/>
      <c r="C61" s="92" t="s">
        <v>661</v>
      </c>
      <c r="D61" s="92"/>
      <c r="E61" s="92"/>
      <c r="F61" s="92"/>
      <c r="G61" s="92" t="s">
        <v>662</v>
      </c>
      <c r="H61" s="92"/>
      <c r="I61" s="92"/>
      <c r="J61" s="92"/>
      <c r="K61" s="92"/>
      <c r="L61" s="92"/>
      <c r="M61" s="263"/>
      <c r="N61" s="270"/>
      <c r="O61" s="271"/>
      <c r="P61" s="271"/>
      <c r="Q61" s="272">
        <v>80</v>
      </c>
      <c r="R61" s="271"/>
      <c r="S61" s="272">
        <v>80</v>
      </c>
      <c r="T61" s="272"/>
      <c r="U61" s="272"/>
      <c r="V61" s="271"/>
      <c r="W61" s="271"/>
      <c r="X61" s="6"/>
    </row>
    <row r="62" spans="1:24" ht="15.75" customHeight="1">
      <c r="A62" s="258"/>
      <c r="B62" s="90"/>
      <c r="C62" s="90"/>
      <c r="D62" s="90" t="s">
        <v>663</v>
      </c>
      <c r="E62" s="90"/>
      <c r="F62" s="90"/>
      <c r="G62" s="90"/>
      <c r="H62" s="90"/>
      <c r="I62" s="90" t="s">
        <v>664</v>
      </c>
      <c r="J62" s="90"/>
      <c r="K62" s="90"/>
      <c r="L62" s="90"/>
      <c r="M62" s="259"/>
      <c r="N62" s="264"/>
      <c r="O62" s="265"/>
      <c r="P62" s="266"/>
      <c r="Q62" s="266">
        <v>80</v>
      </c>
      <c r="R62" s="266"/>
      <c r="S62" s="265">
        <v>80</v>
      </c>
      <c r="T62" s="265"/>
      <c r="U62" s="265"/>
      <c r="V62" s="266"/>
      <c r="W62" s="265"/>
      <c r="X62" s="6"/>
    </row>
    <row r="63" spans="1:24" ht="15.75" customHeight="1">
      <c r="A63" s="260"/>
      <c r="B63" s="91" t="s">
        <v>665</v>
      </c>
      <c r="C63" s="91"/>
      <c r="D63" s="91"/>
      <c r="E63" s="91"/>
      <c r="F63" s="91" t="s">
        <v>666</v>
      </c>
      <c r="G63" s="91"/>
      <c r="H63" s="91"/>
      <c r="I63" s="91"/>
      <c r="J63" s="91"/>
      <c r="K63" s="91"/>
      <c r="L63" s="91"/>
      <c r="M63" s="261"/>
      <c r="N63" s="267"/>
      <c r="O63" s="269">
        <v>22000</v>
      </c>
      <c r="P63" s="268"/>
      <c r="Q63" s="269">
        <v>13960</v>
      </c>
      <c r="R63" s="268"/>
      <c r="S63" s="269">
        <v>-8040</v>
      </c>
      <c r="T63" s="269"/>
      <c r="U63" s="269"/>
      <c r="V63" s="268"/>
      <c r="W63" s="269" t="s">
        <v>667</v>
      </c>
      <c r="X63" s="6"/>
    </row>
    <row r="64" spans="1:24" ht="15.75" customHeight="1">
      <c r="A64" s="260"/>
      <c r="B64" s="91"/>
      <c r="C64" s="91" t="s">
        <v>502</v>
      </c>
      <c r="D64" s="91"/>
      <c r="E64" s="91"/>
      <c r="F64" s="91"/>
      <c r="G64" s="91" t="s">
        <v>668</v>
      </c>
      <c r="H64" s="91"/>
      <c r="I64" s="91"/>
      <c r="J64" s="91"/>
      <c r="K64" s="91"/>
      <c r="L64" s="91"/>
      <c r="M64" s="261"/>
      <c r="N64" s="267"/>
      <c r="O64" s="269"/>
      <c r="P64" s="268"/>
      <c r="Q64" s="269">
        <v>1000</v>
      </c>
      <c r="R64" s="268"/>
      <c r="S64" s="269">
        <v>1000</v>
      </c>
      <c r="T64" s="269"/>
      <c r="U64" s="269"/>
      <c r="V64" s="268"/>
      <c r="W64" s="269"/>
      <c r="X64" s="6"/>
    </row>
    <row r="65" spans="1:24" ht="15.75" customHeight="1">
      <c r="A65" s="260"/>
      <c r="B65" s="91"/>
      <c r="C65" s="91"/>
      <c r="D65" s="91" t="s">
        <v>669</v>
      </c>
      <c r="E65" s="91"/>
      <c r="F65" s="91"/>
      <c r="G65" s="91"/>
      <c r="H65" s="91"/>
      <c r="I65" s="91" t="s">
        <v>670</v>
      </c>
      <c r="J65" s="91"/>
      <c r="K65" s="91"/>
      <c r="L65" s="91"/>
      <c r="M65" s="261"/>
      <c r="N65" s="267"/>
      <c r="O65" s="269"/>
      <c r="P65" s="268"/>
      <c r="Q65" s="269">
        <v>1000</v>
      </c>
      <c r="R65" s="268"/>
      <c r="S65" s="269">
        <v>1000</v>
      </c>
      <c r="T65" s="269"/>
      <c r="U65" s="269"/>
      <c r="V65" s="268"/>
      <c r="W65" s="269"/>
      <c r="X65" s="6"/>
    </row>
    <row r="66" spans="1:24" ht="15.75" customHeight="1">
      <c r="A66" s="260"/>
      <c r="B66" s="91"/>
      <c r="C66" s="91" t="s">
        <v>671</v>
      </c>
      <c r="D66" s="91"/>
      <c r="E66" s="91"/>
      <c r="F66" s="91"/>
      <c r="G66" s="91" t="s">
        <v>672</v>
      </c>
      <c r="H66" s="91"/>
      <c r="I66" s="91"/>
      <c r="J66" s="91"/>
      <c r="K66" s="91"/>
      <c r="L66" s="91"/>
      <c r="M66" s="261"/>
      <c r="N66" s="267"/>
      <c r="O66" s="269"/>
      <c r="P66" s="268"/>
      <c r="Q66" s="269">
        <v>8000</v>
      </c>
      <c r="R66" s="268"/>
      <c r="S66" s="269">
        <v>8000</v>
      </c>
      <c r="T66" s="269"/>
      <c r="U66" s="269"/>
      <c r="V66" s="268"/>
      <c r="W66" s="269"/>
      <c r="X66" s="6"/>
    </row>
    <row r="67" spans="1:24" ht="15.75" customHeight="1">
      <c r="A67" s="260"/>
      <c r="B67" s="91"/>
      <c r="C67" s="91"/>
      <c r="D67" s="91" t="s">
        <v>673</v>
      </c>
      <c r="E67" s="91"/>
      <c r="F67" s="91"/>
      <c r="G67" s="91"/>
      <c r="H67" s="91"/>
      <c r="I67" s="91" t="s">
        <v>674</v>
      </c>
      <c r="J67" s="91"/>
      <c r="K67" s="91"/>
      <c r="L67" s="91"/>
      <c r="M67" s="261"/>
      <c r="N67" s="267"/>
      <c r="O67" s="269"/>
      <c r="P67" s="268"/>
      <c r="Q67" s="269">
        <v>8000</v>
      </c>
      <c r="R67" s="268"/>
      <c r="S67" s="269">
        <v>8000</v>
      </c>
      <c r="T67" s="269"/>
      <c r="U67" s="269"/>
      <c r="V67" s="268"/>
      <c r="W67" s="269"/>
      <c r="X67" s="6"/>
    </row>
    <row r="68" spans="1:24" ht="15.75" customHeight="1">
      <c r="A68" s="260"/>
      <c r="B68" s="91"/>
      <c r="C68" s="91" t="s">
        <v>675</v>
      </c>
      <c r="D68" s="91"/>
      <c r="E68" s="91"/>
      <c r="F68" s="91"/>
      <c r="G68" s="91" t="s">
        <v>676</v>
      </c>
      <c r="H68" s="91"/>
      <c r="I68" s="91"/>
      <c r="J68" s="91"/>
      <c r="K68" s="91"/>
      <c r="L68" s="91"/>
      <c r="M68" s="261"/>
      <c r="N68" s="267"/>
      <c r="O68" s="268"/>
      <c r="P68" s="268"/>
      <c r="Q68" s="269">
        <v>4960</v>
      </c>
      <c r="R68" s="268"/>
      <c r="S68" s="269">
        <v>4960</v>
      </c>
      <c r="T68" s="269"/>
      <c r="U68" s="269"/>
      <c r="V68" s="268"/>
      <c r="W68" s="268"/>
      <c r="X68" s="6"/>
    </row>
    <row r="69" spans="1:24" ht="15.75" customHeight="1">
      <c r="A69" s="260"/>
      <c r="B69" s="91"/>
      <c r="C69" s="91"/>
      <c r="D69" s="91" t="s">
        <v>677</v>
      </c>
      <c r="E69" s="91"/>
      <c r="F69" s="91"/>
      <c r="G69" s="91"/>
      <c r="H69" s="91"/>
      <c r="I69" s="91" t="s">
        <v>678</v>
      </c>
      <c r="J69" s="91"/>
      <c r="K69" s="91"/>
      <c r="L69" s="91"/>
      <c r="M69" s="261"/>
      <c r="N69" s="267"/>
      <c r="O69" s="268"/>
      <c r="P69" s="268"/>
      <c r="Q69" s="269">
        <v>4960</v>
      </c>
      <c r="R69" s="268"/>
      <c r="S69" s="269">
        <v>4960</v>
      </c>
      <c r="T69" s="269"/>
      <c r="U69" s="269"/>
      <c r="V69" s="268"/>
      <c r="W69" s="268"/>
      <c r="X69" s="6"/>
    </row>
    <row r="70" spans="1:24" ht="15.75" customHeight="1">
      <c r="A70" s="260"/>
      <c r="B70" s="91" t="s">
        <v>679</v>
      </c>
      <c r="C70" s="91"/>
      <c r="D70" s="91"/>
      <c r="E70" s="91"/>
      <c r="F70" s="91" t="s">
        <v>206</v>
      </c>
      <c r="G70" s="91"/>
      <c r="H70" s="91"/>
      <c r="I70" s="91"/>
      <c r="J70" s="91"/>
      <c r="K70" s="91"/>
      <c r="L70" s="91"/>
      <c r="M70" s="261"/>
      <c r="N70" s="267"/>
      <c r="O70" s="268">
        <v>33000</v>
      </c>
      <c r="P70" s="268"/>
      <c r="Q70" s="269">
        <v>240</v>
      </c>
      <c r="R70" s="268"/>
      <c r="S70" s="269">
        <v>-32760</v>
      </c>
      <c r="T70" s="269"/>
      <c r="U70" s="269"/>
      <c r="V70" s="268"/>
      <c r="W70" s="268" t="s">
        <v>680</v>
      </c>
      <c r="X70" s="6"/>
    </row>
    <row r="71" spans="1:24" ht="15.75" customHeight="1">
      <c r="A71" s="260"/>
      <c r="B71" s="91"/>
      <c r="C71" s="91" t="s">
        <v>681</v>
      </c>
      <c r="D71" s="91"/>
      <c r="E71" s="91"/>
      <c r="F71" s="91"/>
      <c r="G71" s="91" t="s">
        <v>682</v>
      </c>
      <c r="H71" s="91"/>
      <c r="I71" s="91"/>
      <c r="J71" s="91"/>
      <c r="K71" s="91"/>
      <c r="L71" s="91"/>
      <c r="M71" s="261"/>
      <c r="N71" s="267"/>
      <c r="O71" s="268"/>
      <c r="P71" s="268"/>
      <c r="Q71" s="269">
        <v>240</v>
      </c>
      <c r="R71" s="268"/>
      <c r="S71" s="269">
        <v>240</v>
      </c>
      <c r="T71" s="269"/>
      <c r="U71" s="269"/>
      <c r="V71" s="268"/>
      <c r="W71" s="268"/>
      <c r="X71" s="6"/>
    </row>
    <row r="72" spans="1:24" ht="15.75" customHeight="1">
      <c r="A72" s="260"/>
      <c r="B72" s="91"/>
      <c r="C72" s="91"/>
      <c r="D72" s="91" t="s">
        <v>683</v>
      </c>
      <c r="E72" s="91"/>
      <c r="F72" s="91"/>
      <c r="G72" s="91"/>
      <c r="H72" s="91"/>
      <c r="I72" s="91" t="s">
        <v>206</v>
      </c>
      <c r="J72" s="91"/>
      <c r="K72" s="91"/>
      <c r="L72" s="91"/>
      <c r="M72" s="261"/>
      <c r="N72" s="267"/>
      <c r="O72" s="268"/>
      <c r="P72" s="268"/>
      <c r="Q72" s="269">
        <v>240</v>
      </c>
      <c r="R72" s="268"/>
      <c r="S72" s="269">
        <v>240</v>
      </c>
      <c r="T72" s="269"/>
      <c r="U72" s="269"/>
      <c r="V72" s="268"/>
      <c r="W72" s="268"/>
      <c r="X72" s="6"/>
    </row>
    <row r="73" spans="1:24" ht="15.75" customHeight="1">
      <c r="A73" s="260"/>
      <c r="B73" s="91"/>
      <c r="C73" s="91"/>
      <c r="D73" s="91" t="s">
        <v>684</v>
      </c>
      <c r="E73" s="91"/>
      <c r="F73" s="91"/>
      <c r="G73" s="91"/>
      <c r="H73" s="91"/>
      <c r="I73" s="91"/>
      <c r="J73" s="91"/>
      <c r="K73" s="91"/>
      <c r="L73" s="91"/>
      <c r="M73" s="261"/>
      <c r="N73" s="267"/>
      <c r="O73" s="268">
        <v>36996000</v>
      </c>
      <c r="P73" s="268"/>
      <c r="Q73" s="269">
        <v>22231913</v>
      </c>
      <c r="R73" s="268"/>
      <c r="S73" s="269">
        <v>-14764087</v>
      </c>
      <c r="T73" s="269"/>
      <c r="U73" s="269"/>
      <c r="V73" s="268"/>
      <c r="W73" s="268" t="s">
        <v>685</v>
      </c>
      <c r="X73" s="6"/>
    </row>
    <row r="74" spans="1:24" ht="15.75" customHeight="1">
      <c r="A74" s="260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1"/>
      <c r="N74" s="267"/>
      <c r="O74" s="268"/>
      <c r="P74" s="268"/>
      <c r="Q74" s="269"/>
      <c r="R74" s="268"/>
      <c r="S74" s="269"/>
      <c r="T74" s="269"/>
      <c r="U74" s="269"/>
      <c r="V74" s="268"/>
      <c r="W74" s="268"/>
      <c r="X74" s="6"/>
    </row>
    <row r="75" spans="1:24" ht="15.75" customHeight="1">
      <c r="A75" s="260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/>
      <c r="P75" s="268"/>
      <c r="Q75" s="269"/>
      <c r="R75" s="268"/>
      <c r="S75" s="269"/>
      <c r="T75" s="269"/>
      <c r="U75" s="269"/>
      <c r="V75" s="268"/>
      <c r="W75" s="268"/>
      <c r="X75" s="6"/>
    </row>
    <row r="76" spans="1:24" ht="15.75" customHeight="1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A25" sqref="A25:XFD25"/>
    </sheetView>
  </sheetViews>
  <sheetFormatPr defaultColWidth="9.109375" defaultRowHeight="13.8"/>
  <cols>
    <col min="1" max="1" width="5.44140625" style="484" customWidth="1"/>
    <col min="2" max="2" width="5" style="484" customWidth="1"/>
    <col min="3" max="3" width="20.109375" style="484" customWidth="1"/>
    <col min="4" max="4" width="3.33203125" style="484" customWidth="1"/>
    <col min="5" max="5" width="14" style="62" customWidth="1"/>
    <col min="6" max="6" width="9.109375" style="484"/>
    <col min="7" max="7" width="10.33203125" style="484" customWidth="1"/>
    <col min="8" max="13" width="9.109375" style="484"/>
    <col min="14" max="15" width="3.44140625" style="484" customWidth="1"/>
    <col min="16" max="16" width="5.5546875" style="484" customWidth="1"/>
    <col min="17" max="16384" width="9.109375" style="484"/>
  </cols>
  <sheetData>
    <row r="1" spans="1:16" ht="24.6">
      <c r="A1" s="702" t="str">
        <f>封面!$A$4</f>
        <v>彰化縣地方教育發展基金－彰化縣秀水鄉馬興國民小學</v>
      </c>
      <c r="B1" s="702"/>
      <c r="C1" s="702"/>
      <c r="D1" s="702"/>
      <c r="E1" s="702"/>
      <c r="F1" s="702"/>
      <c r="G1" s="702"/>
      <c r="H1" s="702"/>
      <c r="I1" s="702"/>
      <c r="J1" s="702"/>
      <c r="K1" s="702"/>
      <c r="L1" s="702"/>
      <c r="M1" s="702"/>
      <c r="N1" s="702"/>
      <c r="O1" s="702"/>
    </row>
    <row r="2" spans="1:16" ht="19.8">
      <c r="A2" s="703" t="s">
        <v>119</v>
      </c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3"/>
    </row>
    <row r="3" spans="1:16" ht="15">
      <c r="A3" s="704" t="str">
        <f>封面!$E$10&amp;封面!$H$10&amp;封面!$I$10&amp;封面!$J$10&amp;封面!$K$10&amp;封面!L10</f>
        <v>中華民國111年7月份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</row>
    <row r="4" spans="1:16" s="485" customFormat="1" ht="16.2">
      <c r="A4" s="485" t="s">
        <v>224</v>
      </c>
      <c r="B4" s="705" t="s">
        <v>225</v>
      </c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  <c r="O4" s="705"/>
      <c r="P4" s="705"/>
    </row>
    <row r="5" spans="1:16" s="485" customFormat="1" ht="16.2">
      <c r="B5" s="485" t="s">
        <v>446</v>
      </c>
      <c r="C5" s="485" t="s">
        <v>447</v>
      </c>
      <c r="E5" s="60" t="s">
        <v>197</v>
      </c>
    </row>
    <row r="6" spans="1:16" s="485" customFormat="1" ht="16.2">
      <c r="D6" s="105" t="s">
        <v>448</v>
      </c>
      <c r="E6" s="60" t="s">
        <v>198</v>
      </c>
      <c r="H6" s="217" t="s">
        <v>503</v>
      </c>
      <c r="I6" s="346"/>
      <c r="J6" s="346"/>
      <c r="K6" s="346"/>
      <c r="L6" s="346"/>
      <c r="M6" s="346"/>
      <c r="N6" s="346"/>
      <c r="O6" s="346"/>
      <c r="P6" s="346"/>
    </row>
    <row r="7" spans="1:16" s="485" customFormat="1" ht="16.2" hidden="1">
      <c r="B7" s="485" t="s">
        <v>449</v>
      </c>
      <c r="C7" s="485" t="s">
        <v>450</v>
      </c>
      <c r="D7" s="105" t="s">
        <v>226</v>
      </c>
      <c r="E7" s="60" t="s">
        <v>197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5" customFormat="1" ht="16.2" hidden="1">
      <c r="D8" s="566"/>
      <c r="E8" s="60" t="s">
        <v>198</v>
      </c>
      <c r="H8" s="217"/>
      <c r="I8" s="346"/>
      <c r="J8" s="346"/>
      <c r="K8" s="346"/>
      <c r="L8" s="346"/>
      <c r="M8" s="346"/>
      <c r="N8" s="346"/>
      <c r="O8" s="346"/>
      <c r="P8" s="346"/>
    </row>
    <row r="9" spans="1:16" s="485" customFormat="1" ht="16.2">
      <c r="B9" s="566" t="s">
        <v>237</v>
      </c>
      <c r="C9" s="485" t="s">
        <v>227</v>
      </c>
      <c r="D9" s="546"/>
      <c r="E9" s="60" t="s">
        <v>197</v>
      </c>
      <c r="H9" s="346"/>
      <c r="I9" s="346"/>
      <c r="J9" s="346"/>
      <c r="K9" s="346"/>
      <c r="L9" s="346"/>
      <c r="M9" s="346"/>
      <c r="N9" s="346"/>
      <c r="O9" s="346"/>
      <c r="P9" s="346"/>
    </row>
    <row r="10" spans="1:16" s="485" customFormat="1" ht="16.2">
      <c r="D10" s="105" t="s">
        <v>226</v>
      </c>
      <c r="E10" s="60" t="s">
        <v>198</v>
      </c>
      <c r="H10" s="217" t="s">
        <v>452</v>
      </c>
      <c r="I10" s="346"/>
      <c r="J10" s="346"/>
      <c r="K10" s="346"/>
      <c r="L10" s="346"/>
      <c r="M10" s="346"/>
      <c r="N10" s="346"/>
      <c r="O10" s="346"/>
      <c r="P10" s="346"/>
    </row>
    <row r="11" spans="1:16" s="485" customFormat="1" ht="16.2">
      <c r="B11" s="566" t="s">
        <v>298</v>
      </c>
      <c r="C11" s="485" t="s">
        <v>228</v>
      </c>
      <c r="D11" s="105" t="s">
        <v>226</v>
      </c>
      <c r="E11" s="60" t="s">
        <v>197</v>
      </c>
      <c r="H11" s="346"/>
      <c r="I11" s="346"/>
      <c r="J11" s="346"/>
      <c r="K11" s="346"/>
      <c r="L11" s="346"/>
      <c r="M11" s="346"/>
      <c r="N11" s="346"/>
      <c r="O11" s="346"/>
      <c r="P11" s="346"/>
    </row>
    <row r="12" spans="1:16" s="485" customFormat="1" ht="16.2">
      <c r="E12" s="60" t="s">
        <v>198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5" customFormat="1" ht="16.2">
      <c r="B13" s="566" t="s">
        <v>299</v>
      </c>
      <c r="C13" s="486" t="s">
        <v>229</v>
      </c>
      <c r="E13" s="504" t="s">
        <v>197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5" customFormat="1" ht="16.5" customHeight="1">
      <c r="C14" s="486"/>
      <c r="D14" s="390" t="s">
        <v>226</v>
      </c>
      <c r="E14" s="505" t="s">
        <v>198</v>
      </c>
      <c r="H14" s="706" t="s">
        <v>301</v>
      </c>
      <c r="I14" s="706"/>
      <c r="J14" s="706"/>
      <c r="K14" s="706"/>
      <c r="L14" s="706"/>
      <c r="M14" s="706"/>
      <c r="N14" s="706"/>
      <c r="O14" s="706"/>
      <c r="P14" s="706"/>
    </row>
    <row r="15" spans="1:16" s="485" customFormat="1" ht="16.5" customHeight="1">
      <c r="C15" s="486"/>
      <c r="D15" s="392"/>
      <c r="E15" s="391"/>
      <c r="H15" s="706"/>
      <c r="I15" s="706"/>
      <c r="J15" s="706"/>
      <c r="K15" s="706"/>
      <c r="L15" s="706"/>
      <c r="M15" s="706"/>
      <c r="N15" s="706"/>
      <c r="O15" s="706"/>
      <c r="P15" s="706"/>
    </row>
    <row r="16" spans="1:16" s="485" customFormat="1" ht="15.75" customHeight="1">
      <c r="C16" s="486"/>
      <c r="D16" s="486"/>
      <c r="E16" s="377"/>
    </row>
    <row r="17" spans="1:16" s="485" customFormat="1" ht="16.2">
      <c r="A17" s="485" t="s">
        <v>230</v>
      </c>
      <c r="B17" s="705" t="s">
        <v>231</v>
      </c>
      <c r="C17" s="705"/>
      <c r="D17" s="705"/>
      <c r="E17" s="705"/>
      <c r="F17" s="705"/>
      <c r="G17" s="705"/>
      <c r="H17" s="705"/>
      <c r="I17" s="705"/>
      <c r="J17" s="705"/>
      <c r="K17" s="705"/>
      <c r="L17" s="705"/>
      <c r="M17" s="705"/>
      <c r="N17" s="705"/>
    </row>
    <row r="18" spans="1:16" s="485" customFormat="1" ht="16.2">
      <c r="B18" s="485" t="s">
        <v>232</v>
      </c>
      <c r="C18" s="486" t="s">
        <v>233</v>
      </c>
      <c r="D18" s="486"/>
      <c r="E18" s="393"/>
    </row>
    <row r="19" spans="1:16" s="485" customFormat="1" ht="16.2">
      <c r="C19" s="486" t="s">
        <v>234</v>
      </c>
      <c r="D19" s="390" t="s">
        <v>226</v>
      </c>
      <c r="E19" s="393" t="s">
        <v>235</v>
      </c>
    </row>
    <row r="20" spans="1:16" s="485" customFormat="1" ht="16.2">
      <c r="C20" s="486"/>
      <c r="D20" s="486"/>
      <c r="E20" s="393" t="s">
        <v>236</v>
      </c>
      <c r="H20" s="217"/>
    </row>
    <row r="21" spans="1:16" s="485" customFormat="1" ht="16.2">
      <c r="B21" s="485" t="s">
        <v>237</v>
      </c>
      <c r="C21" s="486" t="s">
        <v>238</v>
      </c>
      <c r="D21" s="486"/>
      <c r="E21" s="393"/>
    </row>
    <row r="22" spans="1:16" s="485" customFormat="1" ht="16.2">
      <c r="C22" s="486" t="s">
        <v>300</v>
      </c>
      <c r="D22" s="390" t="s">
        <v>226</v>
      </c>
      <c r="E22" s="393" t="s">
        <v>197</v>
      </c>
    </row>
    <row r="23" spans="1:16" s="485" customFormat="1" ht="16.2">
      <c r="E23" s="60" t="s">
        <v>198</v>
      </c>
      <c r="H23" s="701"/>
      <c r="I23" s="701"/>
      <c r="J23" s="701"/>
      <c r="K23" s="701"/>
      <c r="L23" s="701"/>
      <c r="M23" s="701"/>
      <c r="N23" s="701"/>
      <c r="O23" s="701"/>
      <c r="P23" s="701"/>
    </row>
    <row r="24" spans="1:16" s="485" customFormat="1" ht="16.2">
      <c r="E24" s="61"/>
      <c r="H24" s="701"/>
      <c r="I24" s="701"/>
      <c r="J24" s="701"/>
      <c r="K24" s="701"/>
      <c r="L24" s="701"/>
      <c r="M24" s="701"/>
      <c r="N24" s="701"/>
      <c r="O24" s="701"/>
      <c r="P24" s="701"/>
    </row>
    <row r="25" spans="1:16" s="485" customFormat="1" ht="16.2">
      <c r="E25" s="61"/>
    </row>
    <row r="26" spans="1:16" s="485" customFormat="1" ht="16.2">
      <c r="E26" s="61"/>
    </row>
    <row r="27" spans="1:16" s="485" customFormat="1" ht="16.2">
      <c r="E27" s="61"/>
    </row>
    <row r="28" spans="1:16" s="485" customFormat="1" ht="16.2">
      <c r="E28" s="61"/>
    </row>
    <row r="29" spans="1:16" s="485" customFormat="1" ht="16.2">
      <c r="E29" s="61"/>
    </row>
    <row r="30" spans="1:16" s="485" customFormat="1" ht="16.2">
      <c r="E30" s="61"/>
    </row>
    <row r="31" spans="1:16" s="485" customFormat="1" ht="16.2">
      <c r="E31" s="61"/>
    </row>
    <row r="32" spans="1:16" s="485" customFormat="1" ht="16.2">
      <c r="E32" s="61"/>
    </row>
    <row r="33" spans="5:5" s="485" customFormat="1" ht="16.2">
      <c r="E33" s="61"/>
    </row>
    <row r="34" spans="5:5" s="485" customFormat="1" ht="16.2">
      <c r="E34" s="61"/>
    </row>
    <row r="35" spans="5:5" s="485" customFormat="1" ht="16.2">
      <c r="E35" s="61"/>
    </row>
    <row r="36" spans="5:5" s="485" customFormat="1" ht="16.2">
      <c r="E36" s="61"/>
    </row>
    <row r="37" spans="5:5" s="485" customFormat="1" ht="16.2">
      <c r="E37" s="61"/>
    </row>
    <row r="38" spans="5:5" s="485" customFormat="1" ht="16.2">
      <c r="E38" s="61"/>
    </row>
    <row r="39" spans="5:5" s="485" customFormat="1" ht="16.2">
      <c r="E39" s="61"/>
    </row>
    <row r="40" spans="5:5" s="485" customFormat="1" ht="16.2">
      <c r="E40" s="61"/>
    </row>
    <row r="41" spans="5:5" s="485" customFormat="1" ht="16.2">
      <c r="E41" s="61"/>
    </row>
    <row r="42" spans="5:5" s="485" customFormat="1" ht="16.2">
      <c r="E42" s="61"/>
    </row>
    <row r="43" spans="5:5" s="485" customFormat="1" ht="16.2">
      <c r="E43" s="61"/>
    </row>
    <row r="44" spans="5:5" s="485" customFormat="1" ht="16.2">
      <c r="E44" s="61"/>
    </row>
    <row r="45" spans="5:5" s="485" customFormat="1" ht="16.2">
      <c r="E45" s="61"/>
    </row>
    <row r="46" spans="5:5" s="485" customFormat="1" ht="16.2">
      <c r="E46" s="61"/>
    </row>
    <row r="47" spans="5:5" s="485" customFormat="1" ht="16.2">
      <c r="E47" s="61"/>
    </row>
    <row r="48" spans="5:5" s="485" customFormat="1" ht="16.2">
      <c r="E48" s="61"/>
    </row>
    <row r="49" spans="5:5" s="485" customFormat="1" ht="16.2">
      <c r="E49" s="61"/>
    </row>
    <row r="50" spans="5:5" s="485" customFormat="1" ht="16.2">
      <c r="E50" s="61"/>
    </row>
    <row r="51" spans="5:5" s="485" customFormat="1" ht="16.2">
      <c r="E51" s="61"/>
    </row>
    <row r="52" spans="5:5" s="485" customFormat="1" ht="16.2">
      <c r="E52" s="61"/>
    </row>
    <row r="53" spans="5:5" s="485" customFormat="1" ht="16.2">
      <c r="E53" s="61"/>
    </row>
    <row r="54" spans="5:5" s="485" customFormat="1" ht="16.2">
      <c r="E54" s="61"/>
    </row>
    <row r="55" spans="5:5" s="485" customFormat="1" ht="16.2">
      <c r="E55" s="61"/>
    </row>
    <row r="56" spans="5:5" s="485" customFormat="1" ht="16.2">
      <c r="E56" s="61"/>
    </row>
    <row r="57" spans="5:5" s="485" customFormat="1" ht="16.2">
      <c r="E57" s="61"/>
    </row>
    <row r="58" spans="5:5" s="485" customFormat="1" ht="16.2">
      <c r="E58" s="61"/>
    </row>
    <row r="59" spans="5:5" s="485" customFormat="1" ht="16.2">
      <c r="E59" s="61"/>
    </row>
    <row r="60" spans="5:5" s="485" customFormat="1" ht="16.2">
      <c r="E60" s="61"/>
    </row>
    <row r="61" spans="5:5" s="485" customFormat="1" ht="16.2">
      <c r="E61" s="61"/>
    </row>
    <row r="62" spans="5:5" s="485" customFormat="1" ht="16.2">
      <c r="E62" s="61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77" t="str">
        <f>封面!$A$4</f>
        <v>彰化縣地方教育發展基金－彰化縣秀水鄉馬興國民小學</v>
      </c>
      <c r="B1" s="677"/>
      <c r="C1" s="677"/>
      <c r="D1" s="677"/>
      <c r="E1" s="677"/>
      <c r="F1" s="677"/>
      <c r="G1" s="677"/>
      <c r="H1" s="677"/>
      <c r="I1" s="596"/>
      <c r="J1" s="596"/>
      <c r="K1" s="596"/>
      <c r="L1" s="596"/>
      <c r="M1" s="596"/>
      <c r="N1" s="596"/>
    </row>
    <row r="2" spans="1:18" ht="19.5" hidden="1" customHeight="1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/>
    <row r="4" spans="1:18" ht="19.8" customHeight="1">
      <c r="A4" s="693" t="s">
        <v>317</v>
      </c>
      <c r="B4" s="693"/>
      <c r="C4" s="693"/>
      <c r="D4" s="693"/>
      <c r="E4" s="693"/>
      <c r="F4" s="693"/>
      <c r="G4" s="693"/>
      <c r="H4" s="693"/>
      <c r="I4" s="596"/>
      <c r="J4" s="596"/>
      <c r="K4" s="596"/>
      <c r="L4" s="596"/>
      <c r="M4" s="596"/>
      <c r="N4" s="596"/>
    </row>
    <row r="5" spans="1:18" ht="6.75" customHeight="1"/>
    <row r="6" spans="1:18" ht="16.2">
      <c r="A6" s="678" t="str">
        <f>封面!$E$10&amp;封面!$H$10&amp;封面!$I$10&amp;封面!$J$10&amp;封面!$K$10&amp;封面!$O$10&amp;"日"</f>
        <v>中華民國111年7月31日</v>
      </c>
      <c r="B6" s="678"/>
      <c r="C6" s="678"/>
      <c r="D6" s="678"/>
      <c r="E6" s="678"/>
      <c r="F6" s="678"/>
      <c r="G6" s="678"/>
      <c r="H6" s="678"/>
      <c r="I6" s="596"/>
      <c r="J6" s="596"/>
      <c r="K6" s="596"/>
      <c r="L6" s="596"/>
      <c r="M6" s="596"/>
      <c r="N6" s="596"/>
    </row>
    <row r="7" spans="1:18" ht="16.2">
      <c r="A7" s="621" t="s">
        <v>39</v>
      </c>
      <c r="B7" s="621"/>
      <c r="C7" s="621"/>
      <c r="D7" s="621"/>
      <c r="E7" s="621"/>
      <c r="F7" s="621"/>
      <c r="G7" s="621"/>
      <c r="H7" s="621"/>
      <c r="I7" s="596"/>
      <c r="J7" s="596"/>
      <c r="K7" s="596"/>
      <c r="L7" s="596"/>
      <c r="M7" s="596"/>
      <c r="N7" s="596"/>
    </row>
    <row r="8" spans="1:18" ht="6" hidden="1" customHeight="1"/>
    <row r="9" spans="1:18" s="352" customFormat="1" ht="21" customHeight="1">
      <c r="A9" s="712" t="s">
        <v>314</v>
      </c>
      <c r="B9" s="713"/>
      <c r="C9" s="713"/>
      <c r="D9" s="713"/>
      <c r="E9" s="713"/>
      <c r="F9" s="712" t="s">
        <v>201</v>
      </c>
      <c r="G9" s="713"/>
      <c r="H9" s="713"/>
      <c r="I9" s="713"/>
      <c r="J9" s="713"/>
      <c r="K9" s="713"/>
      <c r="L9" s="713"/>
      <c r="M9" s="713"/>
      <c r="N9" s="713"/>
      <c r="O9" s="351"/>
      <c r="P9" s="351"/>
      <c r="Q9" s="351"/>
      <c r="R9" s="351"/>
    </row>
    <row r="10" spans="1:18" s="352" customFormat="1" ht="21" customHeight="1">
      <c r="A10" s="713"/>
      <c r="B10" s="713"/>
      <c r="C10" s="713"/>
      <c r="D10" s="713"/>
      <c r="E10" s="713"/>
      <c r="F10" s="709" t="s">
        <v>315</v>
      </c>
      <c r="G10" s="710"/>
      <c r="H10" s="710"/>
      <c r="I10" s="711"/>
      <c r="J10" s="716" t="s">
        <v>316</v>
      </c>
      <c r="K10" s="716"/>
      <c r="L10" s="716"/>
      <c r="M10" s="716"/>
      <c r="N10" s="716"/>
    </row>
    <row r="11" spans="1:18" s="344" customFormat="1" ht="12.75" hidden="1" customHeight="1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5" customFormat="1" ht="14.85" customHeight="1">
      <c r="A14" s="714" t="s">
        <v>403</v>
      </c>
      <c r="B14" s="715"/>
      <c r="C14" s="715"/>
      <c r="D14" s="715"/>
      <c r="E14" s="518"/>
      <c r="F14" s="519"/>
      <c r="G14" s="520"/>
      <c r="H14" s="520"/>
      <c r="I14" s="521">
        <f>SUM(I15:I25)/2</f>
        <v>2507000</v>
      </c>
      <c r="J14" s="522"/>
      <c r="K14" s="523"/>
      <c r="L14" s="523"/>
      <c r="M14" s="524"/>
      <c r="N14" s="521">
        <f>I14+[3]收支!$N14</f>
        <v>25135465</v>
      </c>
    </row>
    <row r="15" spans="1:18" s="525" customFormat="1" ht="14.85" customHeight="1">
      <c r="A15" s="526"/>
      <c r="B15" s="707" t="s">
        <v>404</v>
      </c>
      <c r="C15" s="707"/>
      <c r="D15" s="707"/>
      <c r="E15" s="708"/>
      <c r="F15" s="527"/>
      <c r="G15" s="528"/>
      <c r="H15" s="528"/>
      <c r="I15" s="529">
        <f>I16</f>
        <v>0</v>
      </c>
      <c r="J15" s="530"/>
      <c r="K15" s="531"/>
      <c r="L15" s="531"/>
      <c r="M15" s="532"/>
      <c r="N15" s="529">
        <f>I15+[3]收支!$N15</f>
        <v>5640</v>
      </c>
    </row>
    <row r="16" spans="1:18" s="482" customFormat="1" ht="14.85" customHeight="1">
      <c r="A16" s="481"/>
      <c r="B16" s="476"/>
      <c r="C16" s="477" t="s">
        <v>405</v>
      </c>
      <c r="D16" s="477"/>
      <c r="E16" s="478"/>
      <c r="F16" s="435"/>
      <c r="G16" s="436"/>
      <c r="H16" s="436"/>
      <c r="I16" s="454"/>
      <c r="J16" s="455"/>
      <c r="K16" s="456"/>
      <c r="L16" s="456"/>
      <c r="M16" s="457"/>
      <c r="N16" s="454">
        <f>I16+[3]收支!$N16</f>
        <v>5640</v>
      </c>
    </row>
    <row r="17" spans="1:14" s="525" customFormat="1" ht="14.85" customHeight="1">
      <c r="A17" s="533"/>
      <c r="B17" s="707" t="s">
        <v>335</v>
      </c>
      <c r="C17" s="707"/>
      <c r="D17" s="707"/>
      <c r="E17" s="708"/>
      <c r="F17" s="527"/>
      <c r="G17" s="528"/>
      <c r="H17" s="528"/>
      <c r="I17" s="529">
        <f>SUM(I18:I21)</f>
        <v>0</v>
      </c>
      <c r="J17" s="530"/>
      <c r="K17" s="531"/>
      <c r="L17" s="531"/>
      <c r="M17" s="532"/>
      <c r="N17" s="529">
        <f>I17+[3]收支!$N17</f>
        <v>3616443</v>
      </c>
    </row>
    <row r="18" spans="1:14" s="556" customFormat="1" ht="14.85" customHeight="1">
      <c r="A18" s="547"/>
      <c r="B18" s="548"/>
      <c r="C18" s="477" t="s">
        <v>453</v>
      </c>
      <c r="D18" s="548"/>
      <c r="E18" s="549"/>
      <c r="F18" s="550"/>
      <c r="G18" s="551"/>
      <c r="H18" s="551"/>
      <c r="I18" s="552"/>
      <c r="J18" s="553"/>
      <c r="K18" s="554"/>
      <c r="L18" s="554"/>
      <c r="M18" s="555"/>
      <c r="N18" s="454">
        <f>I18+[3]收支!$N18</f>
        <v>4680</v>
      </c>
    </row>
    <row r="19" spans="1:14" s="482" customFormat="1" ht="14.85" customHeight="1">
      <c r="A19" s="445"/>
      <c r="B19" s="476"/>
      <c r="C19" s="477" t="s">
        <v>406</v>
      </c>
      <c r="D19" s="477"/>
      <c r="E19" s="478"/>
      <c r="F19" s="435"/>
      <c r="G19" s="436"/>
      <c r="H19" s="436"/>
      <c r="I19" s="454"/>
      <c r="J19" s="455"/>
      <c r="K19" s="456"/>
      <c r="L19" s="456"/>
      <c r="M19" s="457"/>
      <c r="N19" s="454">
        <f>I19+[3]收支!$N19</f>
        <v>0</v>
      </c>
    </row>
    <row r="20" spans="1:14" s="482" customFormat="1" ht="14.85" customHeight="1">
      <c r="A20" s="445"/>
      <c r="B20" s="476"/>
      <c r="C20" s="477" t="s">
        <v>407</v>
      </c>
      <c r="D20" s="477"/>
      <c r="E20" s="478"/>
      <c r="F20" s="435"/>
      <c r="G20" s="436"/>
      <c r="H20" s="436"/>
      <c r="I20" s="454"/>
      <c r="J20" s="455"/>
      <c r="K20" s="456"/>
      <c r="L20" s="456"/>
      <c r="M20" s="457"/>
      <c r="N20" s="454">
        <f>I20+[3]收支!$N20</f>
        <v>471807</v>
      </c>
    </row>
    <row r="21" spans="1:14" s="482" customFormat="1" ht="14.85" customHeight="1">
      <c r="A21" s="445"/>
      <c r="B21" s="476"/>
      <c r="C21" s="477" t="s">
        <v>408</v>
      </c>
      <c r="D21" s="477"/>
      <c r="E21" s="478"/>
      <c r="F21" s="435"/>
      <c r="G21" s="436"/>
      <c r="H21" s="436"/>
      <c r="I21" s="454"/>
      <c r="J21" s="455"/>
      <c r="K21" s="456"/>
      <c r="L21" s="456"/>
      <c r="M21" s="457"/>
      <c r="N21" s="454">
        <f>I21+[3]收支!$N21</f>
        <v>3139956</v>
      </c>
    </row>
    <row r="22" spans="1:14" s="535" customFormat="1" ht="14.85" customHeight="1">
      <c r="A22" s="534"/>
      <c r="B22" s="707" t="s">
        <v>409</v>
      </c>
      <c r="C22" s="707"/>
      <c r="D22" s="707"/>
      <c r="E22" s="708"/>
      <c r="F22" s="527"/>
      <c r="G22" s="528"/>
      <c r="H22" s="528"/>
      <c r="I22" s="529">
        <f>I23</f>
        <v>2507000</v>
      </c>
      <c r="J22" s="530"/>
      <c r="K22" s="531"/>
      <c r="L22" s="531"/>
      <c r="M22" s="532"/>
      <c r="N22" s="529">
        <f>I22+[3]收支!$N22</f>
        <v>21501919</v>
      </c>
    </row>
    <row r="23" spans="1:14" s="483" customFormat="1" ht="14.85" customHeight="1">
      <c r="A23" s="446"/>
      <c r="B23" s="449"/>
      <c r="C23" s="450" t="s">
        <v>410</v>
      </c>
      <c r="D23" s="450"/>
      <c r="E23" s="451"/>
      <c r="F23" s="446"/>
      <c r="G23" s="447"/>
      <c r="H23" s="447"/>
      <c r="I23" s="452">
        <v>2507000</v>
      </c>
      <c r="J23" s="445"/>
      <c r="K23" s="449"/>
      <c r="L23" s="449"/>
      <c r="M23" s="453"/>
      <c r="N23" s="452">
        <f>I23+[3]收支!$N23</f>
        <v>21501919</v>
      </c>
    </row>
    <row r="24" spans="1:14" s="535" customFormat="1" ht="14.85" customHeight="1">
      <c r="A24" s="534"/>
      <c r="B24" s="536" t="s">
        <v>411</v>
      </c>
      <c r="C24" s="537"/>
      <c r="D24" s="537"/>
      <c r="E24" s="538"/>
      <c r="F24" s="534"/>
      <c r="G24" s="539"/>
      <c r="H24" s="539"/>
      <c r="I24" s="540">
        <f>I25</f>
        <v>0</v>
      </c>
      <c r="J24" s="533"/>
      <c r="K24" s="536"/>
      <c r="L24" s="536"/>
      <c r="M24" s="541"/>
      <c r="N24" s="540">
        <f>I24+[3]收支!$N24</f>
        <v>11463</v>
      </c>
    </row>
    <row r="25" spans="1:14" s="483" customFormat="1" ht="14.85" customHeight="1">
      <c r="A25" s="446"/>
      <c r="B25" s="449"/>
      <c r="C25" s="450" t="s">
        <v>412</v>
      </c>
      <c r="D25" s="450"/>
      <c r="E25" s="451"/>
      <c r="F25" s="446"/>
      <c r="G25" s="447"/>
      <c r="H25" s="447"/>
      <c r="I25" s="452"/>
      <c r="J25" s="445"/>
      <c r="K25" s="449"/>
      <c r="L25" s="449"/>
      <c r="M25" s="453"/>
      <c r="N25" s="452">
        <f>I25+[3]收支!$N25</f>
        <v>11463</v>
      </c>
    </row>
    <row r="26" spans="1:14" s="535" customFormat="1" ht="14.85" customHeight="1">
      <c r="A26" s="721" t="s">
        <v>336</v>
      </c>
      <c r="B26" s="707"/>
      <c r="C26" s="707"/>
      <c r="D26" s="707"/>
      <c r="E26" s="542"/>
      <c r="F26" s="527"/>
      <c r="G26" s="528"/>
      <c r="H26" s="528"/>
      <c r="I26" s="529">
        <f>SUM(I27:I36)/2</f>
        <v>2729290</v>
      </c>
      <c r="J26" s="530"/>
      <c r="K26" s="531"/>
      <c r="L26" s="531"/>
      <c r="M26" s="532"/>
      <c r="N26" s="529">
        <f>I26+[3]收支!$N26</f>
        <v>23888927</v>
      </c>
    </row>
    <row r="27" spans="1:14" s="535" customFormat="1" ht="14.85" customHeight="1">
      <c r="A27" s="534"/>
      <c r="B27" s="707" t="s">
        <v>413</v>
      </c>
      <c r="C27" s="707"/>
      <c r="D27" s="707"/>
      <c r="E27" s="708"/>
      <c r="F27" s="527"/>
      <c r="G27" s="528"/>
      <c r="H27" s="528"/>
      <c r="I27" s="529">
        <f>I28</f>
        <v>2079178</v>
      </c>
      <c r="J27" s="530"/>
      <c r="K27" s="531"/>
      <c r="L27" s="531"/>
      <c r="M27" s="532"/>
      <c r="N27" s="529">
        <f>I27+[3]收支!$N27</f>
        <v>21220997</v>
      </c>
    </row>
    <row r="28" spans="1:14" s="483" customFormat="1" ht="14.85" customHeight="1">
      <c r="A28" s="446"/>
      <c r="B28" s="476"/>
      <c r="C28" s="477" t="s">
        <v>413</v>
      </c>
      <c r="D28" s="477"/>
      <c r="E28" s="478"/>
      <c r="F28" s="435"/>
      <c r="G28" s="436"/>
      <c r="H28" s="436"/>
      <c r="I28" s="454">
        <v>2079178</v>
      </c>
      <c r="J28" s="455"/>
      <c r="K28" s="456"/>
      <c r="L28" s="456"/>
      <c r="M28" s="457"/>
      <c r="N28" s="454">
        <f>I28+[3]收支!$N28</f>
        <v>21220997</v>
      </c>
    </row>
    <row r="29" spans="1:14" s="535" customFormat="1" ht="14.85" customHeight="1">
      <c r="A29" s="534"/>
      <c r="B29" s="707" t="s">
        <v>414</v>
      </c>
      <c r="C29" s="707"/>
      <c r="D29" s="707"/>
      <c r="E29" s="708"/>
      <c r="F29" s="527"/>
      <c r="G29" s="528"/>
      <c r="H29" s="528"/>
      <c r="I29" s="529">
        <f>I30</f>
        <v>404081</v>
      </c>
      <c r="J29" s="530"/>
      <c r="K29" s="531"/>
      <c r="L29" s="531"/>
      <c r="M29" s="532"/>
      <c r="N29" s="529">
        <f>I29+[3]收支!$N29</f>
        <v>1010676</v>
      </c>
    </row>
    <row r="30" spans="1:14" s="483" customFormat="1" ht="14.85" customHeight="1">
      <c r="A30" s="446"/>
      <c r="B30" s="476"/>
      <c r="C30" s="477" t="s">
        <v>414</v>
      </c>
      <c r="D30" s="477"/>
      <c r="E30" s="478"/>
      <c r="F30" s="435"/>
      <c r="G30" s="436"/>
      <c r="H30" s="436"/>
      <c r="I30" s="454">
        <v>404081</v>
      </c>
      <c r="J30" s="455"/>
      <c r="K30" s="456"/>
      <c r="L30" s="456"/>
      <c r="M30" s="457"/>
      <c r="N30" s="454">
        <f>I30+[3]收支!$N30</f>
        <v>1010676</v>
      </c>
    </row>
    <row r="31" spans="1:14" s="535" customFormat="1" ht="14.85" customHeight="1">
      <c r="A31" s="534"/>
      <c r="B31" s="543" t="s">
        <v>415</v>
      </c>
      <c r="C31" s="544"/>
      <c r="D31" s="544"/>
      <c r="E31" s="545"/>
      <c r="F31" s="527"/>
      <c r="G31" s="528"/>
      <c r="H31" s="528"/>
      <c r="I31" s="529">
        <f>I32</f>
        <v>0</v>
      </c>
      <c r="J31" s="530"/>
      <c r="K31" s="531"/>
      <c r="L31" s="531"/>
      <c r="M31" s="532"/>
      <c r="N31" s="529">
        <f>I31+[3]收支!$N31</f>
        <v>3673</v>
      </c>
    </row>
    <row r="32" spans="1:14" s="483" customFormat="1" ht="14.85" customHeight="1">
      <c r="A32" s="446"/>
      <c r="B32" s="476"/>
      <c r="C32" s="477" t="s">
        <v>416</v>
      </c>
      <c r="D32" s="477"/>
      <c r="E32" s="478"/>
      <c r="F32" s="435"/>
      <c r="G32" s="436"/>
      <c r="H32" s="436"/>
      <c r="I32" s="454"/>
      <c r="J32" s="455"/>
      <c r="K32" s="456"/>
      <c r="L32" s="456"/>
      <c r="M32" s="457"/>
      <c r="N32" s="454">
        <f>I32+[3]收支!$N32</f>
        <v>3673</v>
      </c>
    </row>
    <row r="33" spans="1:14" s="535" customFormat="1" ht="14.85" customHeight="1">
      <c r="A33" s="534"/>
      <c r="B33" s="707" t="s">
        <v>417</v>
      </c>
      <c r="C33" s="707"/>
      <c r="D33" s="707"/>
      <c r="E33" s="708"/>
      <c r="F33" s="527"/>
      <c r="G33" s="528"/>
      <c r="H33" s="528"/>
      <c r="I33" s="529">
        <f>I34</f>
        <v>246031</v>
      </c>
      <c r="J33" s="530"/>
      <c r="K33" s="531"/>
      <c r="L33" s="531"/>
      <c r="M33" s="532"/>
      <c r="N33" s="529">
        <f>I33+[3]收支!$N33</f>
        <v>1653341</v>
      </c>
    </row>
    <row r="34" spans="1:14" s="483" customFormat="1" ht="14.85" customHeight="1">
      <c r="A34" s="446"/>
      <c r="B34" s="449"/>
      <c r="C34" s="450" t="s">
        <v>418</v>
      </c>
      <c r="D34" s="450"/>
      <c r="E34" s="451"/>
      <c r="F34" s="446"/>
      <c r="G34" s="447"/>
      <c r="H34" s="447"/>
      <c r="I34" s="454">
        <v>246031</v>
      </c>
      <c r="J34" s="445"/>
      <c r="K34" s="449"/>
      <c r="L34" s="449"/>
      <c r="M34" s="453"/>
      <c r="N34" s="454">
        <f>I34+[3]收支!$N34</f>
        <v>1653341</v>
      </c>
    </row>
    <row r="35" spans="1:14" s="535" customFormat="1" ht="14.85" customHeight="1">
      <c r="A35" s="534"/>
      <c r="B35" s="536" t="s">
        <v>419</v>
      </c>
      <c r="C35" s="537"/>
      <c r="D35" s="537"/>
      <c r="E35" s="538"/>
      <c r="F35" s="534"/>
      <c r="G35" s="539"/>
      <c r="H35" s="539"/>
      <c r="I35" s="529">
        <f>I36</f>
        <v>0</v>
      </c>
      <c r="J35" s="533"/>
      <c r="K35" s="536"/>
      <c r="L35" s="536"/>
      <c r="M35" s="541"/>
      <c r="N35" s="529">
        <f>I35+[3]收支!$N35</f>
        <v>240</v>
      </c>
    </row>
    <row r="36" spans="1:14" s="483" customFormat="1" ht="14.85" customHeight="1">
      <c r="A36" s="446"/>
      <c r="B36" s="449"/>
      <c r="C36" s="450" t="s">
        <v>419</v>
      </c>
      <c r="D36" s="450"/>
      <c r="E36" s="451"/>
      <c r="F36" s="446"/>
      <c r="G36" s="447"/>
      <c r="H36" s="447"/>
      <c r="I36" s="454"/>
      <c r="J36" s="445"/>
      <c r="K36" s="449"/>
      <c r="L36" s="449"/>
      <c r="M36" s="453"/>
      <c r="N36" s="454">
        <f>I36+[3]收支!$N36</f>
        <v>240</v>
      </c>
    </row>
    <row r="37" spans="1:14" s="535" customFormat="1" ht="14.85" customHeight="1">
      <c r="A37" s="722" t="s">
        <v>420</v>
      </c>
      <c r="B37" s="723"/>
      <c r="C37" s="724"/>
      <c r="D37" s="724"/>
      <c r="E37" s="542"/>
      <c r="F37" s="527"/>
      <c r="G37" s="528"/>
      <c r="H37" s="528"/>
      <c r="I37" s="529">
        <f>I14-I26</f>
        <v>-222290</v>
      </c>
      <c r="J37" s="530"/>
      <c r="K37" s="531"/>
      <c r="L37" s="531"/>
      <c r="M37" s="532"/>
      <c r="N37" s="529">
        <f>I37+[3]收支!$N37</f>
        <v>1246538</v>
      </c>
    </row>
    <row r="38" spans="1:14" s="483" customFormat="1" ht="14.85" customHeight="1">
      <c r="A38" s="717" t="s">
        <v>337</v>
      </c>
      <c r="B38" s="718"/>
      <c r="C38" s="718"/>
      <c r="D38" s="718"/>
      <c r="E38" s="448"/>
      <c r="F38" s="359"/>
      <c r="G38" s="360"/>
      <c r="H38" s="361"/>
      <c r="I38" s="454"/>
      <c r="J38" s="455"/>
      <c r="K38" s="456"/>
      <c r="L38" s="456"/>
      <c r="M38" s="457"/>
      <c r="N38" s="454">
        <f>I38+[3]收支!$N38</f>
        <v>42531681</v>
      </c>
    </row>
    <row r="39" spans="1:14" s="483" customFormat="1" ht="14.85" customHeight="1">
      <c r="A39" s="717" t="s">
        <v>338</v>
      </c>
      <c r="B39" s="718"/>
      <c r="C39" s="718"/>
      <c r="D39" s="718"/>
      <c r="E39" s="448"/>
      <c r="F39" s="362"/>
      <c r="G39" s="360"/>
      <c r="H39" s="363"/>
      <c r="I39" s="454"/>
      <c r="J39" s="445"/>
      <c r="K39" s="449"/>
      <c r="L39" s="449"/>
      <c r="M39" s="453"/>
      <c r="N39" s="454">
        <f>I39+[3]收支!$N39</f>
        <v>0</v>
      </c>
    </row>
    <row r="40" spans="1:14" s="517" customFormat="1" ht="14.85" customHeight="1">
      <c r="A40" s="719" t="s">
        <v>421</v>
      </c>
      <c r="B40" s="720"/>
      <c r="C40" s="720"/>
      <c r="D40" s="720"/>
      <c r="E40" s="509"/>
      <c r="F40" s="510"/>
      <c r="G40" s="511"/>
      <c r="H40" s="512"/>
      <c r="I40" s="513">
        <f>I37+I38-I39</f>
        <v>-222290</v>
      </c>
      <c r="J40" s="514"/>
      <c r="K40" s="515"/>
      <c r="L40" s="515"/>
      <c r="M40" s="516"/>
      <c r="N40" s="513">
        <f>I40+[3]收支!$N40</f>
        <v>43778219</v>
      </c>
    </row>
    <row r="41" spans="1:14" s="482" customFormat="1" ht="12.75" hidden="1" customHeight="1">
      <c r="A41" s="364"/>
      <c r="B41" s="364"/>
      <c r="C41" s="364"/>
      <c r="D41" s="364"/>
      <c r="E41" s="483"/>
      <c r="F41" s="483"/>
      <c r="G41" s="483"/>
      <c r="H41" s="483"/>
      <c r="I41" s="483">
        <v>0</v>
      </c>
    </row>
    <row r="42" spans="1:14" s="483" customFormat="1" ht="16.2">
      <c r="A42" s="364" t="s">
        <v>422</v>
      </c>
      <c r="B42" s="364"/>
      <c r="C42" s="364" t="s">
        <v>456</v>
      </c>
      <c r="D42" s="364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77" t="str">
        <f>封面!$A$4</f>
        <v>彰化縣地方教育發展基金－彰化縣秀水鄉馬興國民小學</v>
      </c>
      <c r="B1" s="677"/>
      <c r="C1" s="677"/>
      <c r="D1" s="677"/>
      <c r="E1" s="677"/>
      <c r="F1" s="677"/>
      <c r="G1" s="596"/>
      <c r="H1" s="596"/>
      <c r="I1" s="596"/>
    </row>
    <row r="2" spans="1:10" ht="19.5" hidden="1" customHeight="1">
      <c r="A2" s="339"/>
      <c r="B2" s="339"/>
      <c r="C2" s="339"/>
      <c r="D2" s="339"/>
      <c r="E2" s="339"/>
      <c r="F2" s="339"/>
    </row>
    <row r="3" spans="1:10" ht="14.25" hidden="1" customHeight="1"/>
    <row r="4" spans="1:10" ht="22.2">
      <c r="A4" s="693" t="s">
        <v>318</v>
      </c>
      <c r="B4" s="693"/>
      <c r="C4" s="693"/>
      <c r="D4" s="693"/>
      <c r="E4" s="693"/>
      <c r="F4" s="693"/>
      <c r="G4" s="596"/>
      <c r="H4" s="596"/>
      <c r="I4" s="596"/>
    </row>
    <row r="5" spans="1:10" ht="6.75" customHeight="1"/>
    <row r="6" spans="1:10" ht="16.2">
      <c r="A6" s="678" t="str">
        <f>封面!$E$10&amp;封面!$H$10&amp;封面!$I$10&amp;封面!$J$10&amp;封面!$K$10&amp;封面!L10</f>
        <v>中華民國111年7月份</v>
      </c>
      <c r="B6" s="678"/>
      <c r="C6" s="678"/>
      <c r="D6" s="678"/>
      <c r="E6" s="678"/>
      <c r="F6" s="678"/>
      <c r="G6" s="596"/>
      <c r="H6" s="596"/>
      <c r="I6" s="596"/>
    </row>
    <row r="7" spans="1:10" ht="16.2">
      <c r="A7" s="621" t="s">
        <v>39</v>
      </c>
      <c r="B7" s="621"/>
      <c r="C7" s="621"/>
      <c r="D7" s="621"/>
      <c r="E7" s="621"/>
      <c r="F7" s="621"/>
      <c r="G7" s="596"/>
      <c r="H7" s="596"/>
      <c r="I7" s="596"/>
    </row>
    <row r="8" spans="1:10" ht="6" customHeight="1"/>
    <row r="9" spans="1:10" s="365" customFormat="1" ht="42.75" customHeight="1">
      <c r="A9" s="713" t="s">
        <v>319</v>
      </c>
      <c r="B9" s="713"/>
      <c r="C9" s="366" t="s">
        <v>320</v>
      </c>
      <c r="D9" s="367" t="s">
        <v>321</v>
      </c>
      <c r="E9" s="367" t="s">
        <v>322</v>
      </c>
      <c r="F9" s="367"/>
      <c r="G9" s="713" t="s">
        <v>323</v>
      </c>
      <c r="H9" s="728"/>
      <c r="I9" s="728"/>
    </row>
    <row r="10" spans="1:10" s="344" customFormat="1" ht="12.75" hidden="1" customHeight="1">
      <c r="A10" s="368"/>
      <c r="B10" s="368"/>
      <c r="C10" s="369"/>
      <c r="D10" s="369"/>
      <c r="E10" s="341"/>
      <c r="F10" s="341"/>
      <c r="G10" s="729" t="s">
        <v>323</v>
      </c>
      <c r="H10" s="730"/>
      <c r="I10" s="730"/>
    </row>
    <row r="11" spans="1:10" s="344" customFormat="1" ht="12.75" hidden="1" customHeight="1">
      <c r="A11" s="368"/>
      <c r="B11" s="368"/>
      <c r="C11" s="369"/>
      <c r="D11" s="369"/>
      <c r="E11" s="369"/>
      <c r="F11" s="369"/>
      <c r="G11" s="729" t="s">
        <v>323</v>
      </c>
      <c r="H11" s="730"/>
      <c r="I11" s="730"/>
    </row>
    <row r="12" spans="1:10" s="344" customFormat="1" ht="9" hidden="1" customHeight="1">
      <c r="A12" s="368"/>
      <c r="B12" s="368"/>
      <c r="C12" s="369"/>
      <c r="D12" s="369"/>
      <c r="E12" s="369"/>
      <c r="F12" s="369"/>
      <c r="G12" s="729" t="s">
        <v>323</v>
      </c>
      <c r="H12" s="730"/>
      <c r="I12" s="730"/>
    </row>
    <row r="13" spans="1:10" s="482" customFormat="1" ht="16.2">
      <c r="A13" s="732" t="s">
        <v>423</v>
      </c>
      <c r="B13" s="732"/>
      <c r="C13" s="466">
        <f>SUM(C14:C17)</f>
        <v>21523702</v>
      </c>
      <c r="D13" s="466">
        <f t="shared" ref="D13:E13" si="0">SUM(D14:D17)</f>
        <v>3611763</v>
      </c>
      <c r="E13" s="466">
        <f t="shared" si="0"/>
        <v>25135465</v>
      </c>
      <c r="F13" s="370"/>
      <c r="G13" s="726" t="s">
        <v>424</v>
      </c>
      <c r="H13" s="731"/>
      <c r="I13" s="727"/>
      <c r="J13" s="482">
        <f>D13</f>
        <v>3611763</v>
      </c>
    </row>
    <row r="14" spans="1:10" s="482" customFormat="1" ht="16.2">
      <c r="A14" s="357"/>
      <c r="B14" s="480" t="s">
        <v>425</v>
      </c>
      <c r="C14" s="458">
        <v>5640</v>
      </c>
      <c r="D14" s="458"/>
      <c r="E14" s="467">
        <f>C14+D14</f>
        <v>5640</v>
      </c>
      <c r="F14" s="370"/>
      <c r="G14" s="358"/>
      <c r="H14" s="731" t="s">
        <v>425</v>
      </c>
      <c r="I14" s="727"/>
      <c r="J14" s="482">
        <f t="shared" ref="J14:J31" si="1">D14</f>
        <v>0</v>
      </c>
    </row>
    <row r="15" spans="1:10" s="482" customFormat="1" ht="16.2">
      <c r="A15" s="357"/>
      <c r="B15" s="480" t="s">
        <v>426</v>
      </c>
      <c r="C15" s="458">
        <v>4680</v>
      </c>
      <c r="D15" s="458">
        <v>3611763</v>
      </c>
      <c r="E15" s="467">
        <f t="shared" ref="E15:E16" si="2">C15+D15</f>
        <v>3616443</v>
      </c>
      <c r="F15" s="370"/>
      <c r="G15" s="358"/>
      <c r="H15" s="731" t="s">
        <v>427</v>
      </c>
      <c r="I15" s="727"/>
      <c r="J15" s="482">
        <f t="shared" si="1"/>
        <v>3611763</v>
      </c>
    </row>
    <row r="16" spans="1:10" s="482" customFormat="1" ht="16.2">
      <c r="A16" s="357"/>
      <c r="B16" s="480" t="s">
        <v>428</v>
      </c>
      <c r="C16" s="458">
        <v>21501919</v>
      </c>
      <c r="D16" s="458"/>
      <c r="E16" s="467">
        <f t="shared" si="2"/>
        <v>21501919</v>
      </c>
      <c r="F16" s="370"/>
      <c r="G16" s="358"/>
      <c r="H16" s="731" t="s">
        <v>20</v>
      </c>
      <c r="I16" s="727"/>
      <c r="J16" s="482">
        <f t="shared" si="1"/>
        <v>0</v>
      </c>
    </row>
    <row r="17" spans="1:10" s="483" customFormat="1" ht="16.2">
      <c r="A17" s="357"/>
      <c r="B17" s="480" t="s">
        <v>429</v>
      </c>
      <c r="C17" s="458">
        <v>11463</v>
      </c>
      <c r="D17" s="458"/>
      <c r="E17" s="467">
        <f>C17+D17</f>
        <v>11463</v>
      </c>
      <c r="F17" s="370"/>
      <c r="G17" s="358"/>
      <c r="H17" s="731" t="s">
        <v>430</v>
      </c>
      <c r="I17" s="727"/>
      <c r="J17" s="482">
        <f t="shared" si="1"/>
        <v>0</v>
      </c>
    </row>
    <row r="18" spans="1:10" s="483" customFormat="1" ht="16.2">
      <c r="A18" s="726" t="s">
        <v>431</v>
      </c>
      <c r="B18" s="727"/>
      <c r="C18" s="468">
        <f>SUM(C19:C27)</f>
        <v>22231913</v>
      </c>
      <c r="D18" s="468">
        <f t="shared" ref="D18:E18" si="3">SUM(D19:D27)</f>
        <v>1657014</v>
      </c>
      <c r="E18" s="468">
        <f t="shared" si="3"/>
        <v>23888927</v>
      </c>
      <c r="F18" s="371"/>
      <c r="G18" s="726" t="s">
        <v>432</v>
      </c>
      <c r="H18" s="731"/>
      <c r="I18" s="727"/>
      <c r="J18" s="482">
        <f t="shared" si="1"/>
        <v>1657014</v>
      </c>
    </row>
    <row r="19" spans="1:10" s="483" customFormat="1" ht="16.2">
      <c r="A19" s="357"/>
      <c r="B19" s="480" t="s">
        <v>433</v>
      </c>
      <c r="C19" s="458">
        <v>21220997</v>
      </c>
      <c r="D19" s="458"/>
      <c r="E19" s="467">
        <f>C19+D19</f>
        <v>21220997</v>
      </c>
      <c r="F19" s="370"/>
      <c r="G19" s="358"/>
      <c r="H19" s="731" t="s">
        <v>434</v>
      </c>
      <c r="I19" s="727"/>
      <c r="J19" s="482">
        <f t="shared" si="1"/>
        <v>0</v>
      </c>
    </row>
    <row r="20" spans="1:10" s="483" customFormat="1" ht="16.2">
      <c r="A20" s="357"/>
      <c r="B20" s="480" t="s">
        <v>435</v>
      </c>
      <c r="C20" s="458">
        <v>572835</v>
      </c>
      <c r="D20" s="458">
        <v>437841</v>
      </c>
      <c r="E20" s="467">
        <f>C20+D20</f>
        <v>1010676</v>
      </c>
      <c r="F20" s="370"/>
      <c r="G20" s="358"/>
      <c r="H20" s="479" t="s">
        <v>436</v>
      </c>
      <c r="I20" s="480"/>
      <c r="J20" s="482"/>
    </row>
    <row r="21" spans="1:10" s="483" customFormat="1" ht="16.2">
      <c r="A21" s="357"/>
      <c r="B21" s="480" t="s">
        <v>437</v>
      </c>
      <c r="C21" s="458">
        <v>77560</v>
      </c>
      <c r="D21" s="458">
        <v>-77560</v>
      </c>
      <c r="E21" s="467">
        <f t="shared" ref="E21:E31" si="4">C21+D21</f>
        <v>0</v>
      </c>
      <c r="F21" s="370"/>
      <c r="G21" s="358"/>
      <c r="H21" s="479"/>
      <c r="I21" s="480"/>
      <c r="J21" s="482"/>
    </row>
    <row r="22" spans="1:10" s="483" customFormat="1" ht="16.2">
      <c r="A22" s="357"/>
      <c r="B22" s="480" t="s">
        <v>438</v>
      </c>
      <c r="C22" s="458">
        <v>346241</v>
      </c>
      <c r="D22" s="458">
        <v>-346241</v>
      </c>
      <c r="E22" s="467">
        <f t="shared" si="4"/>
        <v>0</v>
      </c>
      <c r="F22" s="370"/>
      <c r="G22" s="358"/>
      <c r="H22" s="479"/>
      <c r="I22" s="480"/>
      <c r="J22" s="482"/>
    </row>
    <row r="23" spans="1:10" s="483" customFormat="1" ht="16.2">
      <c r="A23" s="357"/>
      <c r="B23" s="480" t="s">
        <v>439</v>
      </c>
      <c r="C23" s="458">
        <v>80</v>
      </c>
      <c r="D23" s="458">
        <v>-80</v>
      </c>
      <c r="E23" s="467">
        <f t="shared" si="4"/>
        <v>0</v>
      </c>
      <c r="F23" s="370"/>
      <c r="G23" s="358"/>
      <c r="H23" s="479"/>
      <c r="I23" s="480"/>
      <c r="J23" s="482"/>
    </row>
    <row r="24" spans="1:10" s="483" customFormat="1" ht="32.4">
      <c r="A24" s="357"/>
      <c r="B24" s="480" t="s">
        <v>440</v>
      </c>
      <c r="C24" s="458">
        <v>13960</v>
      </c>
      <c r="D24" s="458">
        <v>-13960</v>
      </c>
      <c r="E24" s="467">
        <f t="shared" si="4"/>
        <v>0</v>
      </c>
      <c r="F24" s="370"/>
      <c r="G24" s="358"/>
      <c r="H24" s="479"/>
      <c r="I24" s="480"/>
      <c r="J24" s="482"/>
    </row>
    <row r="25" spans="1:10" s="483" customFormat="1" ht="16.2">
      <c r="A25" s="357"/>
      <c r="B25" s="480"/>
      <c r="C25" s="458"/>
      <c r="D25" s="458">
        <v>3673</v>
      </c>
      <c r="E25" s="467">
        <f t="shared" si="4"/>
        <v>3673</v>
      </c>
      <c r="F25" s="370"/>
      <c r="G25" s="358"/>
      <c r="H25" s="479" t="s">
        <v>441</v>
      </c>
      <c r="I25" s="480"/>
      <c r="J25" s="482"/>
    </row>
    <row r="26" spans="1:10" s="483" customFormat="1" ht="16.2">
      <c r="A26" s="357"/>
      <c r="B26" s="373"/>
      <c r="C26" s="458"/>
      <c r="D26" s="458">
        <v>1653341</v>
      </c>
      <c r="E26" s="467">
        <f t="shared" si="4"/>
        <v>1653341</v>
      </c>
      <c r="F26" s="370"/>
      <c r="G26" s="358"/>
      <c r="H26" s="731" t="s">
        <v>442</v>
      </c>
      <c r="I26" s="727"/>
      <c r="J26" s="482">
        <f t="shared" si="1"/>
        <v>1653341</v>
      </c>
    </row>
    <row r="27" spans="1:10" s="483" customFormat="1" ht="16.2">
      <c r="A27" s="357"/>
      <c r="B27" s="373" t="s">
        <v>443</v>
      </c>
      <c r="C27" s="458">
        <v>240</v>
      </c>
      <c r="D27" s="458"/>
      <c r="E27" s="467">
        <f t="shared" si="4"/>
        <v>240</v>
      </c>
      <c r="F27" s="370"/>
      <c r="G27" s="358"/>
      <c r="H27" s="479" t="s">
        <v>444</v>
      </c>
      <c r="I27" s="480"/>
      <c r="J27" s="482"/>
    </row>
    <row r="28" spans="1:10" s="483" customFormat="1" ht="16.2">
      <c r="A28" s="725" t="s">
        <v>339</v>
      </c>
      <c r="B28" s="725"/>
      <c r="C28" s="466">
        <f>C13-C18</f>
        <v>-708211</v>
      </c>
      <c r="D28" s="466">
        <f t="shared" ref="D28:E28" si="5">D13-D18</f>
        <v>1954749</v>
      </c>
      <c r="E28" s="466">
        <f t="shared" si="5"/>
        <v>1246538</v>
      </c>
      <c r="F28" s="370"/>
      <c r="G28" s="733" t="s">
        <v>339</v>
      </c>
      <c r="H28" s="734"/>
      <c r="I28" s="735"/>
      <c r="J28" s="482">
        <f t="shared" si="1"/>
        <v>1954749</v>
      </c>
    </row>
    <row r="29" spans="1:10" s="483" customFormat="1" ht="16.2">
      <c r="A29" s="725" t="s">
        <v>24</v>
      </c>
      <c r="B29" s="725"/>
      <c r="C29" s="459">
        <f>[4]對照表!$C$31</f>
        <v>2344442</v>
      </c>
      <c r="D29" s="459">
        <f>[4]對照表!$D$31</f>
        <v>40187239</v>
      </c>
      <c r="E29" s="468">
        <f t="shared" si="4"/>
        <v>42531681</v>
      </c>
      <c r="F29" s="371"/>
      <c r="G29" s="733" t="s">
        <v>337</v>
      </c>
      <c r="H29" s="734"/>
      <c r="I29" s="735"/>
      <c r="J29" s="482">
        <f t="shared" si="1"/>
        <v>40187239</v>
      </c>
    </row>
    <row r="30" spans="1:10" s="483" customFormat="1" ht="16.2">
      <c r="A30" s="725" t="s">
        <v>338</v>
      </c>
      <c r="B30" s="725"/>
      <c r="C30" s="465"/>
      <c r="D30" s="465"/>
      <c r="E30" s="466">
        <f t="shared" si="4"/>
        <v>0</v>
      </c>
      <c r="F30" s="370"/>
      <c r="G30" s="733" t="s">
        <v>338</v>
      </c>
      <c r="H30" s="734"/>
      <c r="I30" s="735"/>
      <c r="J30" s="482">
        <f t="shared" si="1"/>
        <v>0</v>
      </c>
    </row>
    <row r="31" spans="1:10" s="483" customFormat="1" ht="16.2">
      <c r="A31" s="736" t="s">
        <v>26</v>
      </c>
      <c r="B31" s="736"/>
      <c r="C31" s="469">
        <f>C28+C29-C30</f>
        <v>1636231</v>
      </c>
      <c r="D31" s="469">
        <f t="shared" ref="D31" si="6">D28+D29-D30</f>
        <v>42141988</v>
      </c>
      <c r="E31" s="469">
        <f t="shared" si="4"/>
        <v>43778219</v>
      </c>
      <c r="F31" s="372"/>
      <c r="G31" s="737" t="s">
        <v>340</v>
      </c>
      <c r="H31" s="738"/>
      <c r="I31" s="739"/>
      <c r="J31" s="482">
        <f t="shared" si="1"/>
        <v>42141988</v>
      </c>
    </row>
    <row r="32" spans="1:10" s="482" customFormat="1" ht="12.75" hidden="1" customHeight="1">
      <c r="A32" s="483"/>
      <c r="B32" s="483"/>
      <c r="C32" s="483"/>
      <c r="D32" s="483"/>
      <c r="E32" s="483"/>
      <c r="F32" s="483"/>
      <c r="G32" s="483"/>
      <c r="H32" s="483"/>
    </row>
    <row r="33" spans="1:1" s="483" customFormat="1" ht="19.5" customHeight="1">
      <c r="A33" s="364" t="s">
        <v>445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A25" sqref="A25:XFD25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741" t="str">
        <f>封面!$A$4</f>
        <v>彰化縣地方教育發展基金－彰化縣秀水鄉馬興國民小學</v>
      </c>
      <c r="B1" s="742"/>
      <c r="C1" s="742"/>
    </row>
    <row r="2" spans="1:5" ht="25.5" customHeight="1">
      <c r="A2" s="743" t="s">
        <v>73</v>
      </c>
      <c r="B2" s="743"/>
      <c r="C2" s="743"/>
    </row>
    <row r="3" spans="1:5" ht="24" customHeight="1">
      <c r="A3" s="744" t="str">
        <f>封面!$E$10&amp;封面!$H$10&amp;封面!$I$10&amp;封面!$J$10&amp;封面!$K$10&amp;封面!$O$10&amp;"日"</f>
        <v>中華民國111年7月31日</v>
      </c>
      <c r="B3" s="744"/>
      <c r="C3" s="744"/>
    </row>
    <row r="4" spans="1:5" s="25" customFormat="1" ht="23.25" customHeight="1">
      <c r="A4" s="745"/>
      <c r="B4" s="745" t="s">
        <v>74</v>
      </c>
      <c r="C4" s="745"/>
    </row>
    <row r="5" spans="1:5" s="25" customFormat="1" ht="23.25" customHeight="1">
      <c r="A5" s="745"/>
      <c r="B5" s="26" t="s">
        <v>75</v>
      </c>
      <c r="C5" s="24" t="s">
        <v>76</v>
      </c>
    </row>
    <row r="6" spans="1:5" ht="24" customHeight="1">
      <c r="A6" s="27" t="s">
        <v>77</v>
      </c>
      <c r="B6" s="113"/>
      <c r="C6" s="114">
        <f>B7</f>
        <v>1596231</v>
      </c>
    </row>
    <row r="7" spans="1:5" ht="24" customHeight="1">
      <c r="A7" s="225" t="s">
        <v>199</v>
      </c>
      <c r="B7" s="113">
        <f>VLOOKUP("銀行存款-縣庫存款",平衡!$E$13:$H$41,4,0)</f>
        <v>1596231</v>
      </c>
      <c r="C7" s="115"/>
    </row>
    <row r="8" spans="1:5" ht="24" customHeight="1">
      <c r="A8" s="106" t="s">
        <v>155</v>
      </c>
      <c r="B8" s="113"/>
      <c r="C8" s="389">
        <f>SUM(B9:B14)</f>
        <v>19700</v>
      </c>
    </row>
    <row r="9" spans="1:5" ht="24" hidden="1" customHeight="1">
      <c r="A9" s="27" t="s">
        <v>78</v>
      </c>
      <c r="B9" s="113"/>
      <c r="C9" s="115"/>
    </row>
    <row r="10" spans="1:5" ht="24" hidden="1" customHeight="1">
      <c r="A10" s="27" t="s">
        <v>79</v>
      </c>
      <c r="B10" s="113"/>
      <c r="C10" s="115"/>
    </row>
    <row r="11" spans="1:5" ht="24" customHeight="1">
      <c r="A11" s="226" t="s">
        <v>770</v>
      </c>
      <c r="B11" s="113">
        <v>19700</v>
      </c>
      <c r="C11" s="115"/>
    </row>
    <row r="12" spans="1:5" ht="24" customHeight="1">
      <c r="A12" s="226"/>
      <c r="B12" s="113"/>
      <c r="C12" s="115"/>
    </row>
    <row r="13" spans="1:5" ht="24" customHeight="1">
      <c r="A13" s="226"/>
      <c r="B13" s="113"/>
      <c r="C13" s="375"/>
      <c r="D13" s="376"/>
      <c r="E13" s="376"/>
    </row>
    <row r="14" spans="1:5" ht="24" customHeight="1">
      <c r="A14" s="226"/>
      <c r="B14" s="113"/>
      <c r="C14" s="375"/>
      <c r="D14" s="376"/>
      <c r="E14" s="376"/>
    </row>
    <row r="15" spans="1:5" ht="24" customHeight="1">
      <c r="A15" s="27" t="s">
        <v>80</v>
      </c>
      <c r="B15" s="113"/>
      <c r="C15" s="389">
        <f>SUM(B16:B17)</f>
        <v>0</v>
      </c>
      <c r="D15" s="376"/>
      <c r="E15" s="376"/>
    </row>
    <row r="16" spans="1:5" ht="24" customHeight="1">
      <c r="A16" s="286" t="str">
        <f>IF(B16&gt;0,封面!J10+1&amp;"月公庫撥款收入","")</f>
        <v/>
      </c>
      <c r="B16" s="113"/>
      <c r="C16" s="375"/>
      <c r="D16" s="376"/>
      <c r="E16" s="376"/>
    </row>
    <row r="17" spans="1:5" ht="24" customHeight="1">
      <c r="A17" s="225"/>
      <c r="B17" s="113"/>
      <c r="C17" s="375"/>
      <c r="D17" s="376"/>
      <c r="E17" s="376"/>
    </row>
    <row r="18" spans="1:5" ht="24" customHeight="1">
      <c r="A18" s="27" t="s">
        <v>81</v>
      </c>
      <c r="B18" s="113"/>
      <c r="C18" s="389">
        <f>SUM(B19:B20)</f>
        <v>0</v>
      </c>
      <c r="D18" s="376"/>
      <c r="E18" s="376"/>
    </row>
    <row r="19" spans="1:5" ht="24" customHeight="1">
      <c r="A19" s="226"/>
      <c r="B19" s="113"/>
      <c r="C19" s="375"/>
      <c r="D19" s="376"/>
      <c r="E19" s="376"/>
    </row>
    <row r="20" spans="1:5" ht="24" customHeight="1">
      <c r="A20" s="225"/>
      <c r="B20" s="113"/>
      <c r="C20" s="375"/>
      <c r="D20" s="376"/>
      <c r="E20" s="376"/>
    </row>
    <row r="21" spans="1:5" ht="24" customHeight="1">
      <c r="A21" s="27" t="s">
        <v>82</v>
      </c>
      <c r="B21" s="113"/>
      <c r="C21" s="389">
        <f>SUM(B22:B23)</f>
        <v>0</v>
      </c>
      <c r="D21" s="376"/>
      <c r="E21" s="376"/>
    </row>
    <row r="22" spans="1:5" ht="24" customHeight="1">
      <c r="A22" s="225"/>
      <c r="B22" s="113"/>
      <c r="C22" s="375"/>
      <c r="D22" s="376"/>
      <c r="E22" s="376"/>
    </row>
    <row r="23" spans="1:5" ht="24" customHeight="1">
      <c r="A23" s="225"/>
      <c r="B23" s="113"/>
      <c r="C23" s="115"/>
    </row>
    <row r="24" spans="1:5" ht="24" customHeight="1">
      <c r="A24" s="27" t="s">
        <v>186</v>
      </c>
      <c r="B24" s="113"/>
      <c r="C24" s="114">
        <f>C6+C8+C15-C18-C21</f>
        <v>1615931</v>
      </c>
      <c r="D24" s="23">
        <f>VLOOKUP(1,縣庫對帳!$A$4:$L$100,12)</f>
        <v>1615931</v>
      </c>
      <c r="E24" s="23">
        <f>C24-D24</f>
        <v>0</v>
      </c>
    </row>
    <row r="25" spans="1:5" ht="24" customHeight="1">
      <c r="A25" s="225"/>
      <c r="B25" s="113"/>
      <c r="C25" s="115"/>
    </row>
    <row r="27" spans="1:5">
      <c r="A27" s="740"/>
      <c r="B27" s="740"/>
      <c r="C27" s="740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="80" zoomScaleSheetLayoutView="80" workbookViewId="0">
      <pane xSplit="2" ySplit="3" topLeftCell="C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9.109375" defaultRowHeight="16.2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65"/>
      <c r="B1" s="746" t="s">
        <v>83</v>
      </c>
      <c r="C1" s="746"/>
      <c r="D1" s="746"/>
      <c r="E1" s="746"/>
      <c r="F1" s="746"/>
      <c r="G1" s="746"/>
      <c r="H1" s="746"/>
      <c r="I1" s="746"/>
      <c r="J1" s="746"/>
      <c r="K1" s="746"/>
      <c r="L1" s="746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65"/>
      <c r="B2" s="747" t="str">
        <f>封面!$E$10&amp;封面!$H$10&amp;封面!$I$10&amp;封面!$J$10&amp;封面!$K$10&amp;封面!L10</f>
        <v>中華民國111年7月份</v>
      </c>
      <c r="C2" s="747"/>
      <c r="D2" s="747"/>
      <c r="E2" s="747"/>
      <c r="F2" s="747"/>
      <c r="G2" s="747"/>
      <c r="H2" s="747"/>
      <c r="I2" s="747"/>
      <c r="J2" s="747"/>
      <c r="K2" s="747"/>
      <c r="L2" s="747"/>
      <c r="M2" s="154"/>
      <c r="N2" s="167" t="s">
        <v>161</v>
      </c>
      <c r="O2" s="167"/>
      <c r="P2" s="167" t="s">
        <v>160</v>
      </c>
      <c r="Q2" s="57"/>
      <c r="R2" s="57"/>
      <c r="S2" s="57"/>
      <c r="T2" s="57"/>
      <c r="U2" s="57"/>
      <c r="V2" s="57"/>
    </row>
    <row r="3" spans="1:22" s="72" customFormat="1">
      <c r="B3" s="187" t="s">
        <v>174</v>
      </c>
      <c r="C3" s="187" t="s">
        <v>175</v>
      </c>
      <c r="D3" s="187" t="s">
        <v>176</v>
      </c>
      <c r="E3" s="188" t="s">
        <v>177</v>
      </c>
      <c r="F3" s="188" t="s">
        <v>84</v>
      </c>
      <c r="G3" s="189" t="s">
        <v>178</v>
      </c>
      <c r="H3" s="190" t="s">
        <v>179</v>
      </c>
      <c r="I3" s="190" t="s">
        <v>4</v>
      </c>
      <c r="J3" s="190" t="s">
        <v>180</v>
      </c>
      <c r="K3" s="190" t="s">
        <v>181</v>
      </c>
      <c r="L3" s="190" t="s">
        <v>85</v>
      </c>
      <c r="M3" s="70"/>
      <c r="N3" s="201">
        <f>VLOOKUP(1,$A$4:$L$98,10,0)-N4+N5-P9</f>
        <v>21523702</v>
      </c>
      <c r="O3" s="201"/>
      <c r="P3" s="201">
        <f>VLOOKUP(1,$A$4:$L$98,11,0)-P4+P5-P6+P7-P8-P9</f>
        <v>22231913</v>
      </c>
      <c r="Q3" s="71"/>
    </row>
    <row r="4" spans="1:22" s="53" customFormat="1">
      <c r="A4" s="69"/>
      <c r="B4" s="191" t="s">
        <v>461</v>
      </c>
      <c r="C4" s="192" t="s">
        <v>462</v>
      </c>
      <c r="D4" s="192" t="s">
        <v>463</v>
      </c>
      <c r="E4" s="192" t="s">
        <v>463</v>
      </c>
      <c r="F4" s="192" t="s">
        <v>463</v>
      </c>
      <c r="G4" s="192" t="s">
        <v>463</v>
      </c>
      <c r="H4" s="192" t="s">
        <v>464</v>
      </c>
      <c r="I4" s="193" t="s">
        <v>463</v>
      </c>
      <c r="J4" s="193">
        <v>23868144</v>
      </c>
      <c r="K4" s="193">
        <v>19788654</v>
      </c>
      <c r="L4" s="193">
        <v>4079490</v>
      </c>
      <c r="M4" s="224" t="s">
        <v>188</v>
      </c>
      <c r="N4" s="202">
        <f>[5]縣庫對帳!$L$4</f>
        <v>2344442</v>
      </c>
      <c r="O4" s="203" t="s">
        <v>189</v>
      </c>
      <c r="P4" s="204">
        <f>VLOOKUP("零用及週轉金",平衡!$D$13:$H$42,5,0)</f>
        <v>40000</v>
      </c>
      <c r="Q4" s="30"/>
    </row>
    <row r="5" spans="1:22" s="53" customFormat="1">
      <c r="A5" s="69"/>
      <c r="B5" s="191" t="s">
        <v>461</v>
      </c>
      <c r="C5" s="192" t="s">
        <v>462</v>
      </c>
      <c r="D5" s="192" t="s">
        <v>465</v>
      </c>
      <c r="E5" s="192" t="s">
        <v>466</v>
      </c>
      <c r="F5" s="192" t="s">
        <v>467</v>
      </c>
      <c r="G5" s="192" t="s">
        <v>463</v>
      </c>
      <c r="H5" s="192" t="s">
        <v>468</v>
      </c>
      <c r="I5" s="193">
        <v>27000</v>
      </c>
      <c r="J5" s="193">
        <v>23868144</v>
      </c>
      <c r="K5" s="193">
        <v>19815654</v>
      </c>
      <c r="L5" s="193">
        <v>4052490</v>
      </c>
      <c r="M5" s="203" t="s">
        <v>190</v>
      </c>
      <c r="N5" s="204">
        <f>-庫款差額!C15+庫款差額!C18</f>
        <v>0</v>
      </c>
      <c r="O5" s="203" t="s">
        <v>190</v>
      </c>
      <c r="P5" s="204">
        <f>庫款差額!C8-庫款差額!C21</f>
        <v>19700</v>
      </c>
      <c r="Q5" s="30"/>
    </row>
    <row r="6" spans="1:22" s="53" customFormat="1" ht="23.4">
      <c r="A6" s="69"/>
      <c r="B6" s="191" t="s">
        <v>461</v>
      </c>
      <c r="C6" s="192" t="s">
        <v>462</v>
      </c>
      <c r="D6" s="192" t="s">
        <v>469</v>
      </c>
      <c r="E6" s="191" t="s">
        <v>470</v>
      </c>
      <c r="F6" s="191" t="s">
        <v>471</v>
      </c>
      <c r="G6" s="192" t="s">
        <v>463</v>
      </c>
      <c r="H6" s="192" t="s">
        <v>468</v>
      </c>
      <c r="I6" s="193">
        <v>64070</v>
      </c>
      <c r="J6" s="193">
        <v>23868144</v>
      </c>
      <c r="K6" s="193">
        <v>19879724</v>
      </c>
      <c r="L6" s="193">
        <v>3988420</v>
      </c>
      <c r="M6" s="118"/>
      <c r="N6" s="205"/>
      <c r="O6" s="206" t="s">
        <v>195</v>
      </c>
      <c r="P6" s="204"/>
      <c r="Q6" s="30"/>
    </row>
    <row r="7" spans="1:22" s="53" customFormat="1" ht="23.4">
      <c r="A7" s="69"/>
      <c r="B7" s="191" t="s">
        <v>461</v>
      </c>
      <c r="C7" s="192" t="s">
        <v>462</v>
      </c>
      <c r="D7" s="192" t="s">
        <v>469</v>
      </c>
      <c r="E7" s="191" t="s">
        <v>472</v>
      </c>
      <c r="F7" s="191" t="s">
        <v>473</v>
      </c>
      <c r="G7" s="192" t="s">
        <v>463</v>
      </c>
      <c r="H7" s="192" t="s">
        <v>468</v>
      </c>
      <c r="I7" s="193">
        <v>32000</v>
      </c>
      <c r="J7" s="193">
        <v>23868144</v>
      </c>
      <c r="K7" s="193">
        <v>19911724</v>
      </c>
      <c r="L7" s="193">
        <v>3956420</v>
      </c>
      <c r="M7" s="118"/>
      <c r="N7" s="205"/>
      <c r="O7" s="206" t="s">
        <v>196</v>
      </c>
      <c r="P7" s="204">
        <f>IF(Q7=0,0,VLOOKUP("應付費用",平衡!$N$13:$U$41,4,0))</f>
        <v>0</v>
      </c>
      <c r="Q7" s="30"/>
    </row>
    <row r="8" spans="1:22" s="53" customFormat="1">
      <c r="A8" s="69"/>
      <c r="B8" s="191" t="s">
        <v>461</v>
      </c>
      <c r="C8" s="192" t="s">
        <v>462</v>
      </c>
      <c r="D8" s="192" t="s">
        <v>469</v>
      </c>
      <c r="E8" s="191" t="s">
        <v>474</v>
      </c>
      <c r="F8" s="191" t="s">
        <v>475</v>
      </c>
      <c r="G8" s="192" t="s">
        <v>463</v>
      </c>
      <c r="H8" s="192" t="s">
        <v>468</v>
      </c>
      <c r="I8" s="193">
        <v>19200</v>
      </c>
      <c r="J8" s="193">
        <v>23868144</v>
      </c>
      <c r="K8" s="193">
        <v>19930924</v>
      </c>
      <c r="L8" s="193">
        <v>3937220</v>
      </c>
      <c r="M8" s="118"/>
      <c r="N8" s="205"/>
      <c r="O8" s="204" t="s">
        <v>191</v>
      </c>
      <c r="P8" s="204"/>
      <c r="Q8" s="30"/>
    </row>
    <row r="9" spans="1:22" s="53" customFormat="1">
      <c r="A9" s="69"/>
      <c r="B9" s="191" t="s">
        <v>461</v>
      </c>
      <c r="C9" s="192" t="s">
        <v>462</v>
      </c>
      <c r="D9" s="192" t="s">
        <v>476</v>
      </c>
      <c r="E9" s="191" t="s">
        <v>477</v>
      </c>
      <c r="F9" s="191" t="s">
        <v>478</v>
      </c>
      <c r="G9" s="192" t="s">
        <v>463</v>
      </c>
      <c r="H9" s="192" t="s">
        <v>468</v>
      </c>
      <c r="I9" s="193">
        <v>16000</v>
      </c>
      <c r="J9" s="193">
        <v>23868144</v>
      </c>
      <c r="K9" s="193">
        <v>19946924</v>
      </c>
      <c r="L9" s="193">
        <v>3921220</v>
      </c>
      <c r="M9" s="118"/>
      <c r="N9" s="30"/>
      <c r="O9" s="204" t="s">
        <v>192</v>
      </c>
      <c r="P9" s="204"/>
      <c r="Q9" s="30"/>
    </row>
    <row r="10" spans="1:22" s="53" customFormat="1">
      <c r="A10" s="69"/>
      <c r="B10" s="191" t="s">
        <v>461</v>
      </c>
      <c r="C10" s="192" t="s">
        <v>462</v>
      </c>
      <c r="D10" s="192" t="s">
        <v>479</v>
      </c>
      <c r="E10" s="191" t="s">
        <v>480</v>
      </c>
      <c r="F10" s="191" t="s">
        <v>481</v>
      </c>
      <c r="G10" s="192" t="s">
        <v>463</v>
      </c>
      <c r="H10" s="192" t="s">
        <v>482</v>
      </c>
      <c r="I10" s="193">
        <v>37881</v>
      </c>
      <c r="J10" s="193">
        <v>23868144</v>
      </c>
      <c r="K10" s="193">
        <v>19909043</v>
      </c>
      <c r="L10" s="193">
        <v>3959101</v>
      </c>
      <c r="M10" s="118"/>
      <c r="N10" s="30"/>
      <c r="O10" s="30"/>
      <c r="P10" s="30"/>
      <c r="Q10" s="30"/>
    </row>
    <row r="11" spans="1:22" s="53" customFormat="1">
      <c r="A11" s="69"/>
      <c r="B11" s="191" t="s">
        <v>461</v>
      </c>
      <c r="C11" s="192" t="s">
        <v>462</v>
      </c>
      <c r="D11" s="192" t="s">
        <v>483</v>
      </c>
      <c r="E11" s="191" t="s">
        <v>484</v>
      </c>
      <c r="F11" s="191" t="s">
        <v>485</v>
      </c>
      <c r="G11" s="192" t="s">
        <v>463</v>
      </c>
      <c r="H11" s="192" t="s">
        <v>482</v>
      </c>
      <c r="I11" s="193">
        <v>640</v>
      </c>
      <c r="J11" s="193">
        <v>23868144</v>
      </c>
      <c r="K11" s="193">
        <v>19908403</v>
      </c>
      <c r="L11" s="193">
        <v>3959741</v>
      </c>
      <c r="M11" s="118"/>
      <c r="N11" s="30"/>
      <c r="O11" s="30"/>
      <c r="P11" s="30"/>
      <c r="Q11" s="30"/>
    </row>
    <row r="12" spans="1:22" s="53" customFormat="1">
      <c r="A12" s="69"/>
      <c r="B12" s="191" t="s">
        <v>461</v>
      </c>
      <c r="C12" s="192" t="s">
        <v>462</v>
      </c>
      <c r="D12" s="192" t="s">
        <v>483</v>
      </c>
      <c r="E12" s="191" t="s">
        <v>486</v>
      </c>
      <c r="F12" s="191" t="s">
        <v>487</v>
      </c>
      <c r="G12" s="192" t="s">
        <v>463</v>
      </c>
      <c r="H12" s="192" t="s">
        <v>468</v>
      </c>
      <c r="I12" s="193">
        <v>13070</v>
      </c>
      <c r="J12" s="193">
        <v>23868144</v>
      </c>
      <c r="K12" s="193">
        <v>19921473</v>
      </c>
      <c r="L12" s="193">
        <v>3946671</v>
      </c>
      <c r="M12" s="118"/>
      <c r="N12" s="30"/>
      <c r="O12" s="30"/>
      <c r="P12" s="30"/>
      <c r="Q12" s="30"/>
    </row>
    <row r="13" spans="1:22" s="53" customFormat="1">
      <c r="A13" s="69"/>
      <c r="B13" s="191" t="s">
        <v>461</v>
      </c>
      <c r="C13" s="374" t="s">
        <v>462</v>
      </c>
      <c r="D13" s="374" t="s">
        <v>488</v>
      </c>
      <c r="E13" s="374" t="s">
        <v>489</v>
      </c>
      <c r="F13" s="191" t="s">
        <v>490</v>
      </c>
      <c r="G13" s="192" t="s">
        <v>463</v>
      </c>
      <c r="H13" s="192" t="s">
        <v>468</v>
      </c>
      <c r="I13" s="193">
        <v>37914</v>
      </c>
      <c r="J13" s="193">
        <v>23868144</v>
      </c>
      <c r="K13" s="193">
        <v>19959387</v>
      </c>
      <c r="L13" s="193">
        <v>3908757</v>
      </c>
      <c r="M13" s="118"/>
      <c r="N13" s="30"/>
      <c r="O13" s="30"/>
      <c r="P13" s="30"/>
      <c r="Q13" s="30"/>
    </row>
    <row r="14" spans="1:22" s="53" customFormat="1">
      <c r="A14" s="69"/>
      <c r="B14" s="191" t="s">
        <v>461</v>
      </c>
      <c r="C14" s="374" t="s">
        <v>462</v>
      </c>
      <c r="D14" s="374" t="s">
        <v>488</v>
      </c>
      <c r="E14" s="374" t="s">
        <v>491</v>
      </c>
      <c r="F14" s="191" t="s">
        <v>492</v>
      </c>
      <c r="G14" s="192" t="s">
        <v>463</v>
      </c>
      <c r="H14" s="192" t="s">
        <v>468</v>
      </c>
      <c r="I14" s="193">
        <v>295000</v>
      </c>
      <c r="J14" s="193">
        <v>23868144</v>
      </c>
      <c r="K14" s="193">
        <v>20254387</v>
      </c>
      <c r="L14" s="193">
        <v>3613757</v>
      </c>
      <c r="M14" s="118"/>
      <c r="N14" s="30"/>
      <c r="O14" s="30"/>
      <c r="P14" s="30"/>
      <c r="Q14" s="30"/>
    </row>
    <row r="15" spans="1:22" s="53" customFormat="1">
      <c r="A15" s="69"/>
      <c r="B15" s="191" t="s">
        <v>461</v>
      </c>
      <c r="C15" s="374" t="s">
        <v>462</v>
      </c>
      <c r="D15" s="374" t="s">
        <v>493</v>
      </c>
      <c r="E15" s="374" t="s">
        <v>494</v>
      </c>
      <c r="F15" s="191" t="s">
        <v>495</v>
      </c>
      <c r="G15" s="192" t="s">
        <v>463</v>
      </c>
      <c r="H15" s="192" t="s">
        <v>468</v>
      </c>
      <c r="I15" s="193">
        <v>1637950</v>
      </c>
      <c r="J15" s="193">
        <v>23868144</v>
      </c>
      <c r="K15" s="193">
        <v>21892337</v>
      </c>
      <c r="L15" s="193">
        <v>1975807</v>
      </c>
      <c r="M15" s="118"/>
      <c r="N15" s="30"/>
      <c r="O15" s="30"/>
      <c r="P15" s="30"/>
      <c r="Q15" s="30"/>
    </row>
    <row r="16" spans="1:22" s="53" customFormat="1">
      <c r="A16" s="69">
        <v>1</v>
      </c>
      <c r="B16" s="191" t="s">
        <v>461</v>
      </c>
      <c r="C16" s="374" t="s">
        <v>462</v>
      </c>
      <c r="D16" s="374" t="s">
        <v>493</v>
      </c>
      <c r="E16" s="374" t="s">
        <v>496</v>
      </c>
      <c r="F16" s="191" t="s">
        <v>497</v>
      </c>
      <c r="G16" s="192" t="s">
        <v>463</v>
      </c>
      <c r="H16" s="192" t="s">
        <v>468</v>
      </c>
      <c r="I16" s="193">
        <v>359876</v>
      </c>
      <c r="J16" s="193">
        <v>23868144</v>
      </c>
      <c r="K16" s="193">
        <v>22252213</v>
      </c>
      <c r="L16" s="193">
        <v>1615931</v>
      </c>
      <c r="M16" s="118"/>
      <c r="N16" s="30"/>
      <c r="O16" s="30"/>
      <c r="P16" s="30"/>
      <c r="Q16" s="30"/>
    </row>
    <row r="17" spans="1:19" s="53" customFormat="1">
      <c r="A17" s="69"/>
      <c r="B17" s="194" t="s">
        <v>463</v>
      </c>
      <c r="C17" s="387" t="s">
        <v>498</v>
      </c>
      <c r="D17" s="387" t="s">
        <v>463</v>
      </c>
      <c r="E17" s="387" t="s">
        <v>463</v>
      </c>
      <c r="F17" s="194" t="s">
        <v>463</v>
      </c>
      <c r="G17" s="195">
        <v>0</v>
      </c>
      <c r="H17" s="195" t="s">
        <v>463</v>
      </c>
      <c r="I17" s="195">
        <v>2463559</v>
      </c>
      <c r="J17" s="195" t="s">
        <v>463</v>
      </c>
      <c r="K17" s="195" t="s">
        <v>463</v>
      </c>
      <c r="L17" s="195" t="s">
        <v>463</v>
      </c>
      <c r="M17" s="118"/>
      <c r="N17" s="30"/>
      <c r="O17" s="30"/>
      <c r="P17" s="30"/>
      <c r="Q17" s="30"/>
    </row>
    <row r="18" spans="1:19" s="53" customFormat="1">
      <c r="A18" s="69"/>
      <c r="B18" s="194"/>
      <c r="C18" s="387"/>
      <c r="D18" s="387"/>
      <c r="E18" s="387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>
      <c r="A19" s="218"/>
      <c r="B19" s="194"/>
      <c r="C19" s="387"/>
      <c r="D19" s="387"/>
      <c r="E19" s="387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>
      <c r="A20" s="218"/>
      <c r="B20" s="222"/>
      <c r="C20" s="388"/>
      <c r="D20" s="388"/>
      <c r="E20" s="388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>
      <c r="A21" s="218"/>
      <c r="B21" s="222"/>
      <c r="C21" s="388"/>
      <c r="D21" s="388"/>
      <c r="E21" s="388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>
      <c r="A22" s="218"/>
      <c r="B22" s="222"/>
      <c r="C22" s="388"/>
      <c r="D22" s="388"/>
      <c r="E22" s="38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60"/>
  <sheetViews>
    <sheetView tabSelected="1" view="pageBreakPreview" zoomScaleSheetLayoutView="100" workbookViewId="0">
      <pane xSplit="2" ySplit="6" topLeftCell="C46" activePane="bottomRight" state="frozen"/>
      <selection pane="topRight" activeCell="C1" sqref="C1"/>
      <selection pane="bottomLeft" activeCell="A7" sqref="A7"/>
      <selection pane="bottomRight" activeCell="K54" sqref="K54"/>
    </sheetView>
  </sheetViews>
  <sheetFormatPr defaultColWidth="9.109375" defaultRowHeight="13.2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1.33203125" style="289" bestFit="1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>
      <c r="B1" s="750" t="s">
        <v>297</v>
      </c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3" ht="22.2">
      <c r="B2" s="750" t="s">
        <v>239</v>
      </c>
      <c r="C2" s="750"/>
      <c r="D2" s="750"/>
      <c r="E2" s="750"/>
      <c r="F2" s="750"/>
      <c r="G2" s="750"/>
      <c r="H2" s="750"/>
      <c r="I2" s="750"/>
      <c r="J2" s="750"/>
      <c r="K2" s="750"/>
      <c r="L2" s="750"/>
    </row>
    <row r="3" spans="1:13" ht="22.2">
      <c r="B3" s="750" t="str">
        <f>封面!E10&amp;封面!H10&amp;封面!I10&amp;封面!J10&amp;封面!K10&amp;封面!L10</f>
        <v>中華民國111年7月份</v>
      </c>
      <c r="C3" s="750"/>
      <c r="D3" s="750"/>
      <c r="E3" s="750"/>
      <c r="F3" s="750"/>
      <c r="G3" s="750"/>
      <c r="H3" s="750"/>
      <c r="I3" s="750"/>
      <c r="J3" s="750"/>
      <c r="K3" s="750"/>
      <c r="L3" s="750"/>
    </row>
    <row r="4" spans="1:13" ht="22.2">
      <c r="B4" s="290" t="s">
        <v>312</v>
      </c>
      <c r="C4" s="291"/>
      <c r="D4" s="291"/>
      <c r="E4" s="291"/>
      <c r="F4" s="291"/>
      <c r="G4" s="292"/>
      <c r="H4" s="292"/>
      <c r="I4" s="292"/>
      <c r="J4" s="751" t="s">
        <v>313</v>
      </c>
      <c r="K4" s="752"/>
      <c r="L4" s="753"/>
    </row>
    <row r="5" spans="1:13" ht="16.2">
      <c r="A5" s="754" t="s">
        <v>240</v>
      </c>
      <c r="B5" s="755"/>
      <c r="C5" s="758" t="s">
        <v>241</v>
      </c>
      <c r="D5" s="758"/>
      <c r="E5" s="758"/>
      <c r="F5" s="759" t="s">
        <v>242</v>
      </c>
      <c r="G5" s="761" t="s">
        <v>243</v>
      </c>
      <c r="H5" s="762"/>
      <c r="I5" s="762"/>
      <c r="J5" s="762"/>
      <c r="K5" s="762"/>
      <c r="L5" s="763"/>
    </row>
    <row r="6" spans="1:13" ht="39.75" customHeight="1">
      <c r="A6" s="756"/>
      <c r="B6" s="757"/>
      <c r="C6" s="287" t="s">
        <v>244</v>
      </c>
      <c r="D6" s="287" t="s">
        <v>245</v>
      </c>
      <c r="E6" s="287" t="s">
        <v>246</v>
      </c>
      <c r="F6" s="760"/>
      <c r="G6" s="293" t="s">
        <v>290</v>
      </c>
      <c r="H6" s="293" t="s">
        <v>291</v>
      </c>
      <c r="I6" s="293" t="s">
        <v>292</v>
      </c>
      <c r="J6" s="293" t="s">
        <v>293</v>
      </c>
      <c r="K6" s="293" t="s">
        <v>294</v>
      </c>
      <c r="L6" s="293" t="s">
        <v>295</v>
      </c>
    </row>
    <row r="7" spans="1:13" ht="22.2">
      <c r="A7" s="764" t="s">
        <v>247</v>
      </c>
      <c r="B7" s="765"/>
      <c r="C7" s="287"/>
      <c r="D7" s="287"/>
      <c r="E7" s="287"/>
      <c r="F7" s="294"/>
      <c r="G7" s="766">
        <f>SUM(G8:L9)</f>
        <v>13166990</v>
      </c>
      <c r="H7" s="767"/>
      <c r="I7" s="767"/>
      <c r="J7" s="767"/>
      <c r="K7" s="767"/>
      <c r="L7" s="768"/>
      <c r="M7" s="300">
        <f>SUM(G7:L7)</f>
        <v>13166990</v>
      </c>
    </row>
    <row r="8" spans="1:13" ht="16.2">
      <c r="A8" s="764" t="s">
        <v>248</v>
      </c>
      <c r="B8" s="765"/>
      <c r="C8" s="295"/>
      <c r="D8" s="295"/>
      <c r="E8" s="295"/>
      <c r="F8" s="296"/>
      <c r="G8" s="297">
        <f>'勾稽 (2)'!D25</f>
        <v>0</v>
      </c>
      <c r="H8" s="297">
        <f>'勾稽 (2)'!D28</f>
        <v>9497724</v>
      </c>
      <c r="I8" s="297">
        <f>'勾稽 (2)'!D27</f>
        <v>736573</v>
      </c>
      <c r="J8" s="297">
        <f>'勾稽 (2)'!D26</f>
        <v>0</v>
      </c>
      <c r="K8" s="297">
        <f>'勾稽 (2)'!D29</f>
        <v>1032677</v>
      </c>
      <c r="L8" s="297">
        <f>'勾稽 (2)'!D30</f>
        <v>16</v>
      </c>
      <c r="M8" s="300">
        <f t="shared" ref="M8:M9" si="0">SUM(G8:L8)</f>
        <v>11266990</v>
      </c>
    </row>
    <row r="9" spans="1:13" ht="16.2">
      <c r="A9" s="564"/>
      <c r="B9" s="565" t="s">
        <v>459</v>
      </c>
      <c r="C9" s="295"/>
      <c r="D9" s="295"/>
      <c r="E9" s="295"/>
      <c r="F9" s="296"/>
      <c r="G9" s="297"/>
      <c r="H9" s="297"/>
      <c r="I9" s="297"/>
      <c r="J9" s="297"/>
      <c r="K9" s="297">
        <f>'勾稽 (2)'!E29</f>
        <v>1900000</v>
      </c>
      <c r="L9" s="297"/>
      <c r="M9" s="300">
        <f t="shared" si="0"/>
        <v>1900000</v>
      </c>
    </row>
    <row r="10" spans="1:13" ht="16.2">
      <c r="A10" s="764" t="s">
        <v>249</v>
      </c>
      <c r="B10" s="765"/>
      <c r="C10" s="298"/>
      <c r="D10" s="298"/>
      <c r="E10" s="298"/>
      <c r="F10" s="296"/>
      <c r="G10" s="299">
        <f t="shared" ref="G10:K10" si="1">SUM(G11:G13)</f>
        <v>0</v>
      </c>
      <c r="H10" s="299">
        <f t="shared" si="1"/>
        <v>0</v>
      </c>
      <c r="I10" s="299">
        <f t="shared" si="1"/>
        <v>0</v>
      </c>
      <c r="J10" s="299">
        <f t="shared" si="1"/>
        <v>0</v>
      </c>
      <c r="K10" s="299">
        <f t="shared" si="1"/>
        <v>0</v>
      </c>
      <c r="L10" s="299">
        <f>SUM(L11:L13)</f>
        <v>0</v>
      </c>
      <c r="M10" s="300">
        <f>SUM(G10:L10)</f>
        <v>0</v>
      </c>
    </row>
    <row r="11" spans="1:13" ht="16.2">
      <c r="A11" s="330" t="s">
        <v>250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2">
      <c r="A12" s="330" t="s">
        <v>251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>
      <c r="A13" s="330" t="s">
        <v>252</v>
      </c>
      <c r="B13" s="331"/>
      <c r="C13" s="298"/>
      <c r="D13" s="298"/>
      <c r="E13" s="298"/>
      <c r="F13" s="296"/>
      <c r="G13" s="301"/>
      <c r="H13" s="301"/>
      <c r="I13" s="301"/>
      <c r="J13" s="301"/>
      <c r="K13" s="301"/>
      <c r="L13" s="301"/>
      <c r="M13" s="300"/>
    </row>
    <row r="14" spans="1:13" ht="16.2">
      <c r="A14" s="748" t="s">
        <v>253</v>
      </c>
      <c r="B14" s="765"/>
      <c r="C14" s="298"/>
      <c r="D14" s="298"/>
      <c r="E14" s="298"/>
      <c r="F14" s="296"/>
      <c r="G14" s="302">
        <f t="shared" ref="G14:K14" si="2">SUM(G15:G44)</f>
        <v>37914</v>
      </c>
      <c r="H14" s="302">
        <f t="shared" si="2"/>
        <v>2652070</v>
      </c>
      <c r="I14" s="302">
        <f t="shared" si="2"/>
        <v>2711</v>
      </c>
      <c r="J14" s="302">
        <f t="shared" si="2"/>
        <v>0</v>
      </c>
      <c r="K14" s="302">
        <f t="shared" si="2"/>
        <v>0</v>
      </c>
      <c r="L14" s="302">
        <f>SUM(L15:L44)</f>
        <v>0</v>
      </c>
      <c r="M14" s="300">
        <f>SUM(G14:L14)</f>
        <v>2692695</v>
      </c>
    </row>
    <row r="15" spans="1:13" ht="16.2">
      <c r="A15" s="330" t="s">
        <v>250</v>
      </c>
      <c r="B15" s="331"/>
      <c r="C15" s="303"/>
      <c r="D15" s="303"/>
      <c r="E15" s="303"/>
      <c r="F15" s="296"/>
      <c r="G15" s="304">
        <v>37914</v>
      </c>
      <c r="H15" s="304">
        <v>9</v>
      </c>
      <c r="I15" s="304">
        <v>2711</v>
      </c>
      <c r="J15" s="304"/>
      <c r="K15" s="304"/>
      <c r="L15" s="304"/>
    </row>
    <row r="16" spans="1:13" ht="16.2">
      <c r="A16" s="330" t="s">
        <v>251</v>
      </c>
      <c r="B16" s="331"/>
      <c r="C16" s="303"/>
      <c r="D16" s="303"/>
      <c r="E16" s="303"/>
      <c r="F16" s="305"/>
      <c r="G16" s="304"/>
      <c r="H16" s="304">
        <v>733</v>
      </c>
      <c r="I16" s="304"/>
      <c r="J16" s="304"/>
      <c r="K16" s="304"/>
      <c r="L16" s="304"/>
    </row>
    <row r="17" spans="1:13" ht="16.2">
      <c r="A17" s="330" t="s">
        <v>252</v>
      </c>
      <c r="B17" s="331"/>
      <c r="C17" s="303"/>
      <c r="D17" s="303"/>
      <c r="E17" s="303"/>
      <c r="F17" s="296"/>
      <c r="G17" s="304"/>
      <c r="H17" s="304">
        <v>11155</v>
      </c>
      <c r="I17" s="304"/>
      <c r="J17" s="304"/>
      <c r="K17" s="304"/>
      <c r="L17" s="304"/>
    </row>
    <row r="18" spans="1:13" ht="16.2">
      <c r="A18" s="330" t="s">
        <v>254</v>
      </c>
      <c r="B18" s="331"/>
      <c r="C18" s="303"/>
      <c r="D18" s="303"/>
      <c r="E18" s="303"/>
      <c r="F18" s="296"/>
      <c r="G18" s="304"/>
      <c r="H18" s="304">
        <v>4815</v>
      </c>
      <c r="I18" s="304"/>
      <c r="J18" s="304"/>
      <c r="K18" s="304"/>
      <c r="L18" s="304"/>
      <c r="M18" s="288"/>
    </row>
    <row r="19" spans="1:13" ht="16.2">
      <c r="A19" s="330" t="s">
        <v>255</v>
      </c>
      <c r="B19" s="331"/>
      <c r="C19" s="303"/>
      <c r="D19" s="303"/>
      <c r="E19" s="303"/>
      <c r="F19" s="296"/>
      <c r="G19" s="304"/>
      <c r="H19" s="304">
        <v>6318</v>
      </c>
      <c r="I19" s="304"/>
      <c r="J19" s="304"/>
      <c r="K19" s="304"/>
      <c r="L19" s="304"/>
      <c r="M19" s="288"/>
    </row>
    <row r="20" spans="1:13" ht="16.2">
      <c r="A20" s="330" t="s">
        <v>256</v>
      </c>
      <c r="B20" s="331"/>
      <c r="C20" s="303"/>
      <c r="D20" s="303"/>
      <c r="E20" s="303"/>
      <c r="F20" s="296"/>
      <c r="G20" s="304"/>
      <c r="H20" s="304">
        <v>1285</v>
      </c>
      <c r="I20" s="304"/>
      <c r="J20" s="304"/>
      <c r="K20" s="304"/>
      <c r="L20" s="304"/>
      <c r="M20" s="288"/>
    </row>
    <row r="21" spans="1:13" ht="16.2">
      <c r="A21" s="330" t="s">
        <v>257</v>
      </c>
      <c r="B21" s="331"/>
      <c r="C21" s="303"/>
      <c r="D21" s="303"/>
      <c r="E21" s="303"/>
      <c r="F21" s="296"/>
      <c r="G21" s="304"/>
      <c r="H21" s="304">
        <v>14000</v>
      </c>
      <c r="I21" s="304"/>
      <c r="J21" s="304"/>
      <c r="K21" s="304"/>
      <c r="L21" s="304"/>
      <c r="M21" s="288"/>
    </row>
    <row r="22" spans="1:13" ht="16.2">
      <c r="A22" s="330" t="s">
        <v>258</v>
      </c>
      <c r="B22" s="331"/>
      <c r="C22" s="303"/>
      <c r="D22" s="303"/>
      <c r="E22" s="303"/>
      <c r="F22" s="296"/>
      <c r="G22" s="304"/>
      <c r="H22" s="304">
        <v>263711</v>
      </c>
      <c r="I22" s="304"/>
      <c r="J22" s="304"/>
      <c r="K22" s="304"/>
      <c r="L22" s="304"/>
      <c r="M22" s="288"/>
    </row>
    <row r="23" spans="1:13" ht="16.2">
      <c r="A23" s="330" t="s">
        <v>259</v>
      </c>
      <c r="B23" s="331"/>
      <c r="C23" s="303"/>
      <c r="D23" s="303"/>
      <c r="E23" s="303"/>
      <c r="F23" s="296"/>
      <c r="G23" s="304"/>
      <c r="H23" s="304">
        <v>1071</v>
      </c>
      <c r="I23" s="304"/>
      <c r="J23" s="304"/>
      <c r="K23" s="304"/>
      <c r="L23" s="304"/>
      <c r="M23" s="288"/>
    </row>
    <row r="24" spans="1:13" ht="16.2">
      <c r="A24" s="330" t="s">
        <v>260</v>
      </c>
      <c r="B24" s="331"/>
      <c r="C24" s="303"/>
      <c r="D24" s="303"/>
      <c r="E24" s="303"/>
      <c r="F24" s="296"/>
      <c r="G24" s="304"/>
      <c r="H24" s="304">
        <v>320</v>
      </c>
      <c r="I24" s="304"/>
      <c r="J24" s="304"/>
      <c r="K24" s="304"/>
      <c r="L24" s="304"/>
      <c r="M24" s="288"/>
    </row>
    <row r="25" spans="1:13" ht="16.2">
      <c r="A25" s="330"/>
      <c r="B25" s="331"/>
      <c r="C25" s="303"/>
      <c r="D25" s="303"/>
      <c r="E25" s="303"/>
      <c r="F25" s="296"/>
      <c r="G25" s="304"/>
      <c r="H25" s="304">
        <v>2895</v>
      </c>
      <c r="I25" s="304"/>
      <c r="J25" s="304"/>
      <c r="K25" s="304"/>
      <c r="L25" s="304"/>
      <c r="M25" s="288"/>
    </row>
    <row r="26" spans="1:13" ht="16.2">
      <c r="A26" s="330"/>
      <c r="B26" s="331"/>
      <c r="C26" s="303"/>
      <c r="D26" s="303"/>
      <c r="E26" s="303"/>
      <c r="F26" s="296"/>
      <c r="G26" s="304"/>
      <c r="H26" s="304">
        <v>22274</v>
      </c>
      <c r="I26" s="304"/>
      <c r="J26" s="304"/>
      <c r="K26" s="304"/>
      <c r="L26" s="304"/>
      <c r="M26" s="288"/>
    </row>
    <row r="27" spans="1:13" ht="16.2">
      <c r="A27" s="330"/>
      <c r="B27" s="331"/>
      <c r="C27" s="303"/>
      <c r="D27" s="303"/>
      <c r="E27" s="303"/>
      <c r="F27" s="296"/>
      <c r="G27" s="304"/>
      <c r="H27" s="304">
        <v>2000</v>
      </c>
      <c r="I27" s="304"/>
      <c r="J27" s="304"/>
      <c r="K27" s="304"/>
      <c r="L27" s="304"/>
      <c r="M27" s="288"/>
    </row>
    <row r="28" spans="1:13" ht="16.2">
      <c r="A28" s="330"/>
      <c r="B28" s="331"/>
      <c r="C28" s="303"/>
      <c r="D28" s="303"/>
      <c r="E28" s="303"/>
      <c r="F28" s="296"/>
      <c r="G28" s="304"/>
      <c r="H28" s="304">
        <v>391</v>
      </c>
      <c r="I28" s="304"/>
      <c r="J28" s="304"/>
      <c r="K28" s="304"/>
      <c r="L28" s="304"/>
      <c r="M28" s="288"/>
    </row>
    <row r="29" spans="1:13" ht="16.2">
      <c r="A29" s="330"/>
      <c r="B29" s="331"/>
      <c r="C29" s="303"/>
      <c r="D29" s="303"/>
      <c r="E29" s="303"/>
      <c r="F29" s="296"/>
      <c r="G29" s="304"/>
      <c r="H29" s="304">
        <v>1284000</v>
      </c>
      <c r="I29" s="304"/>
      <c r="J29" s="304"/>
      <c r="K29" s="304"/>
      <c r="L29" s="304"/>
      <c r="M29" s="288"/>
    </row>
    <row r="30" spans="1:13" ht="16.2">
      <c r="A30" s="330"/>
      <c r="B30" s="331"/>
      <c r="C30" s="303"/>
      <c r="D30" s="303"/>
      <c r="E30" s="303"/>
      <c r="F30" s="296"/>
      <c r="G30" s="304"/>
      <c r="H30" s="304">
        <v>143000</v>
      </c>
      <c r="I30" s="304"/>
      <c r="J30" s="304"/>
      <c r="K30" s="304"/>
      <c r="L30" s="304"/>
      <c r="M30" s="288"/>
    </row>
    <row r="31" spans="1:13" ht="16.2">
      <c r="A31" s="330"/>
      <c r="B31" s="331"/>
      <c r="C31" s="303"/>
      <c r="D31" s="303"/>
      <c r="E31" s="303"/>
      <c r="F31" s="296"/>
      <c r="G31" s="304"/>
      <c r="H31" s="304">
        <v>3000</v>
      </c>
      <c r="I31" s="304"/>
      <c r="J31" s="304"/>
      <c r="K31" s="304"/>
      <c r="L31" s="304"/>
      <c r="M31" s="288"/>
    </row>
    <row r="32" spans="1:13" ht="16.2">
      <c r="A32" s="330"/>
      <c r="B32" s="331"/>
      <c r="C32" s="303"/>
      <c r="D32" s="303"/>
      <c r="E32" s="303"/>
      <c r="F32" s="296"/>
      <c r="G32" s="304"/>
      <c r="H32" s="304">
        <v>8834</v>
      </c>
      <c r="I32" s="304"/>
      <c r="J32" s="304"/>
      <c r="K32" s="304"/>
      <c r="L32" s="304"/>
      <c r="M32" s="288"/>
    </row>
    <row r="33" spans="1:14" ht="16.2">
      <c r="A33" s="330"/>
      <c r="B33" s="331"/>
      <c r="C33" s="303"/>
      <c r="D33" s="303"/>
      <c r="E33" s="303"/>
      <c r="F33" s="296"/>
      <c r="G33" s="304"/>
      <c r="H33" s="304">
        <v>567139</v>
      </c>
      <c r="I33" s="304"/>
      <c r="J33" s="304"/>
      <c r="K33" s="304"/>
      <c r="L33" s="304"/>
      <c r="M33" s="288"/>
    </row>
    <row r="34" spans="1:14" ht="16.2">
      <c r="A34" s="330"/>
      <c r="B34" s="331"/>
      <c r="C34" s="303"/>
      <c r="D34" s="303"/>
      <c r="E34" s="303"/>
      <c r="F34" s="296"/>
      <c r="G34" s="304"/>
      <c r="H34" s="304">
        <v>92337</v>
      </c>
      <c r="I34" s="304"/>
      <c r="J34" s="304"/>
      <c r="K34" s="304"/>
      <c r="L34" s="304"/>
      <c r="M34" s="288"/>
    </row>
    <row r="35" spans="1:14" ht="16.2">
      <c r="A35" s="330" t="s">
        <v>261</v>
      </c>
      <c r="B35" s="331"/>
      <c r="C35" s="303"/>
      <c r="D35" s="303"/>
      <c r="E35" s="303"/>
      <c r="F35" s="296"/>
      <c r="G35" s="304"/>
      <c r="H35" s="304">
        <v>92337</v>
      </c>
      <c r="I35" s="304"/>
      <c r="J35" s="304"/>
      <c r="K35" s="304"/>
      <c r="L35" s="304"/>
      <c r="M35" s="288"/>
    </row>
    <row r="36" spans="1:14" ht="16.2">
      <c r="A36" s="330" t="s">
        <v>262</v>
      </c>
      <c r="B36" s="331"/>
      <c r="C36" s="303"/>
      <c r="D36" s="303"/>
      <c r="E36" s="303"/>
      <c r="F36" s="296"/>
      <c r="G36" s="304"/>
      <c r="H36" s="304">
        <v>23071</v>
      </c>
      <c r="I36" s="304"/>
      <c r="J36" s="304"/>
      <c r="K36" s="304"/>
      <c r="L36" s="304"/>
      <c r="M36" s="288"/>
    </row>
    <row r="37" spans="1:14" ht="16.2">
      <c r="A37" s="330" t="s">
        <v>263</v>
      </c>
      <c r="B37" s="331"/>
      <c r="C37" s="303"/>
      <c r="D37" s="303"/>
      <c r="E37" s="303"/>
      <c r="F37" s="296"/>
      <c r="G37" s="304"/>
      <c r="H37" s="304">
        <v>23071</v>
      </c>
      <c r="I37" s="304"/>
      <c r="J37" s="304"/>
      <c r="K37" s="304"/>
      <c r="L37" s="304"/>
      <c r="M37" s="288"/>
    </row>
    <row r="38" spans="1:14" ht="16.2">
      <c r="A38" s="330" t="s">
        <v>264</v>
      </c>
      <c r="B38" s="331"/>
      <c r="C38" s="303"/>
      <c r="D38" s="303"/>
      <c r="E38" s="303"/>
      <c r="F38" s="296"/>
      <c r="G38" s="304"/>
      <c r="H38" s="304">
        <v>23071</v>
      </c>
      <c r="I38" s="304"/>
      <c r="J38" s="304"/>
      <c r="K38" s="304"/>
      <c r="L38" s="304"/>
      <c r="M38" s="288"/>
    </row>
    <row r="39" spans="1:14" ht="16.2">
      <c r="A39" s="330" t="s">
        <v>265</v>
      </c>
      <c r="B39" s="331"/>
      <c r="C39" s="303"/>
      <c r="D39" s="303"/>
      <c r="E39" s="303"/>
      <c r="F39" s="296"/>
      <c r="G39" s="304"/>
      <c r="H39" s="304">
        <v>23071</v>
      </c>
      <c r="I39" s="304"/>
      <c r="J39" s="304"/>
      <c r="K39" s="304"/>
      <c r="L39" s="304"/>
      <c r="M39" s="288"/>
    </row>
    <row r="40" spans="1:14" ht="16.2">
      <c r="A40" s="330" t="s">
        <v>266</v>
      </c>
      <c r="B40" s="331"/>
      <c r="C40" s="303"/>
      <c r="D40" s="303"/>
      <c r="E40" s="303"/>
      <c r="F40" s="296"/>
      <c r="G40" s="304"/>
      <c r="H40" s="304">
        <v>38162</v>
      </c>
      <c r="I40" s="304"/>
      <c r="J40" s="304"/>
      <c r="K40" s="304"/>
      <c r="L40" s="304"/>
      <c r="M40" s="288"/>
    </row>
    <row r="41" spans="1:14" ht="16.2">
      <c r="A41" s="330" t="s">
        <v>267</v>
      </c>
      <c r="B41" s="331"/>
      <c r="C41" s="303"/>
      <c r="D41" s="303"/>
      <c r="E41" s="303"/>
      <c r="F41" s="296"/>
      <c r="G41" s="304"/>
      <c r="H41" s="304"/>
      <c r="I41" s="304"/>
      <c r="J41" s="304"/>
      <c r="K41" s="304"/>
      <c r="L41" s="304"/>
      <c r="M41" s="288"/>
    </row>
    <row r="42" spans="1:14" ht="16.2">
      <c r="A42" s="330" t="s">
        <v>268</v>
      </c>
      <c r="B42" s="331"/>
      <c r="C42" s="303"/>
      <c r="D42" s="303"/>
      <c r="E42" s="303"/>
      <c r="F42" s="296"/>
      <c r="G42" s="304"/>
      <c r="H42" s="304"/>
      <c r="I42" s="304"/>
      <c r="J42" s="304"/>
      <c r="K42" s="304"/>
      <c r="L42" s="304"/>
      <c r="M42" s="288"/>
    </row>
    <row r="43" spans="1:14" ht="16.2">
      <c r="A43" s="330" t="s">
        <v>269</v>
      </c>
      <c r="B43" s="331"/>
      <c r="C43" s="303"/>
      <c r="D43" s="303"/>
      <c r="E43" s="303"/>
      <c r="F43" s="296"/>
      <c r="G43" s="304"/>
      <c r="H43" s="304"/>
      <c r="I43" s="304"/>
      <c r="J43" s="304"/>
      <c r="K43" s="304"/>
      <c r="L43" s="304"/>
      <c r="M43" s="288"/>
    </row>
    <row r="44" spans="1:14" ht="16.2">
      <c r="A44" s="330" t="s">
        <v>270</v>
      </c>
      <c r="B44" s="331"/>
      <c r="C44" s="303"/>
      <c r="D44" s="303"/>
      <c r="E44" s="303"/>
      <c r="F44" s="296"/>
      <c r="G44" s="304"/>
      <c r="H44" s="304"/>
      <c r="I44" s="304"/>
      <c r="J44" s="304"/>
      <c r="K44" s="304"/>
      <c r="L44" s="304"/>
    </row>
    <row r="45" spans="1:14" ht="16.2">
      <c r="A45" s="748" t="s">
        <v>285</v>
      </c>
      <c r="B45" s="749"/>
      <c r="C45" s="306"/>
      <c r="D45" s="306"/>
      <c r="E45" s="306"/>
      <c r="F45" s="296"/>
      <c r="G45" s="307">
        <f t="shared" ref="G45:K45" si="3">SUM(G46:G48)</f>
        <v>0</v>
      </c>
      <c r="H45" s="307">
        <f t="shared" si="3"/>
        <v>0</v>
      </c>
      <c r="I45" s="307">
        <f t="shared" si="3"/>
        <v>0</v>
      </c>
      <c r="J45" s="307">
        <f t="shared" si="3"/>
        <v>0</v>
      </c>
      <c r="K45" s="307">
        <f t="shared" si="3"/>
        <v>0</v>
      </c>
      <c r="L45" s="307">
        <f>SUM(L46:L48)</f>
        <v>0</v>
      </c>
      <c r="M45" s="300">
        <f>SUM(G45:L45)</f>
        <v>0</v>
      </c>
      <c r="N45" s="308"/>
    </row>
    <row r="46" spans="1:14" ht="16.2">
      <c r="A46" s="330" t="s">
        <v>286</v>
      </c>
      <c r="B46" s="331"/>
      <c r="C46" s="309"/>
      <c r="D46" s="309"/>
      <c r="E46" s="309"/>
      <c r="F46" s="310"/>
      <c r="G46" s="304"/>
      <c r="H46" s="304"/>
      <c r="I46" s="304"/>
      <c r="J46" s="304"/>
      <c r="K46" s="304"/>
      <c r="L46" s="304"/>
      <c r="N46" s="311"/>
    </row>
    <row r="47" spans="1:14" ht="16.2">
      <c r="A47" s="330" t="s">
        <v>251</v>
      </c>
      <c r="B47" s="331"/>
      <c r="C47" s="309"/>
      <c r="D47" s="309"/>
      <c r="E47" s="309"/>
      <c r="F47" s="310"/>
      <c r="G47" s="304"/>
      <c r="H47" s="304"/>
      <c r="I47" s="304"/>
      <c r="J47" s="304"/>
      <c r="K47" s="304"/>
      <c r="L47" s="304"/>
      <c r="N47" s="311"/>
    </row>
    <row r="48" spans="1:14" ht="16.2">
      <c r="A48" s="330" t="s">
        <v>252</v>
      </c>
      <c r="B48" s="331"/>
      <c r="C48" s="309"/>
      <c r="D48" s="309"/>
      <c r="E48" s="309"/>
      <c r="F48" s="310"/>
      <c r="G48" s="304"/>
      <c r="H48" s="304"/>
      <c r="I48" s="304"/>
      <c r="J48" s="304"/>
      <c r="K48" s="304"/>
      <c r="L48" s="304"/>
      <c r="N48" s="311"/>
    </row>
    <row r="49" spans="1:16" ht="16.2">
      <c r="A49" s="748" t="s">
        <v>287</v>
      </c>
      <c r="B49" s="749"/>
      <c r="C49" s="306"/>
      <c r="D49" s="306"/>
      <c r="E49" s="306"/>
      <c r="F49" s="296"/>
      <c r="G49" s="307">
        <f t="shared" ref="G49:K49" si="4">SUM(G50:G52)</f>
        <v>0</v>
      </c>
      <c r="H49" s="307">
        <f t="shared" si="4"/>
        <v>0</v>
      </c>
      <c r="I49" s="307">
        <f t="shared" si="4"/>
        <v>0</v>
      </c>
      <c r="J49" s="307">
        <f t="shared" si="4"/>
        <v>0</v>
      </c>
      <c r="K49" s="307">
        <f t="shared" si="4"/>
        <v>0</v>
      </c>
      <c r="L49" s="307">
        <f>SUM(L50:L52)</f>
        <v>0</v>
      </c>
      <c r="M49" s="300">
        <f>SUM(G49:L49)</f>
        <v>0</v>
      </c>
      <c r="N49" s="308"/>
    </row>
    <row r="50" spans="1:16" ht="16.2">
      <c r="A50" s="330" t="s">
        <v>286</v>
      </c>
      <c r="B50" s="331"/>
      <c r="C50" s="309"/>
      <c r="D50" s="309"/>
      <c r="E50" s="309"/>
      <c r="F50" s="310"/>
      <c r="G50" s="304"/>
      <c r="H50" s="304"/>
      <c r="I50" s="304"/>
      <c r="J50" s="304"/>
      <c r="K50" s="304"/>
      <c r="L50" s="304"/>
      <c r="N50" s="311"/>
    </row>
    <row r="51" spans="1:16" ht="16.2">
      <c r="A51" s="330" t="s">
        <v>251</v>
      </c>
      <c r="B51" s="331"/>
      <c r="C51" s="309"/>
      <c r="D51" s="309"/>
      <c r="E51" s="309"/>
      <c r="F51" s="310"/>
      <c r="G51" s="304"/>
      <c r="H51" s="304"/>
      <c r="I51" s="304"/>
      <c r="J51" s="304"/>
      <c r="K51" s="304"/>
      <c r="L51" s="304"/>
      <c r="N51" s="311"/>
    </row>
    <row r="52" spans="1:16" ht="16.2">
      <c r="A52" s="330" t="s">
        <v>252</v>
      </c>
      <c r="B52" s="331"/>
      <c r="C52" s="309"/>
      <c r="D52" s="309"/>
      <c r="E52" s="309"/>
      <c r="F52" s="310"/>
      <c r="G52" s="304"/>
      <c r="H52" s="304"/>
      <c r="I52" s="304"/>
      <c r="J52" s="304"/>
      <c r="K52" s="304"/>
      <c r="L52" s="304"/>
      <c r="N52" s="311"/>
    </row>
    <row r="53" spans="1:16" ht="16.2">
      <c r="A53" s="764" t="s">
        <v>288</v>
      </c>
      <c r="B53" s="765"/>
      <c r="C53" s="298"/>
      <c r="D53" s="298"/>
      <c r="E53" s="298"/>
      <c r="F53" s="296"/>
      <c r="G53" s="312">
        <f>G8+G10+G14-G45-G49</f>
        <v>37914</v>
      </c>
      <c r="H53" s="312">
        <f t="shared" ref="H53:L53" si="5">H8+H10+H14-H45-H49</f>
        <v>12149794</v>
      </c>
      <c r="I53" s="312">
        <f t="shared" si="5"/>
        <v>739284</v>
      </c>
      <c r="J53" s="312">
        <f t="shared" si="5"/>
        <v>0</v>
      </c>
      <c r="K53" s="312">
        <f t="shared" si="5"/>
        <v>1032677</v>
      </c>
      <c r="L53" s="312">
        <f t="shared" si="5"/>
        <v>16</v>
      </c>
      <c r="M53" s="300">
        <f>SUM(G53:L53)</f>
        <v>13959685</v>
      </c>
      <c r="N53" s="313"/>
      <c r="O53" s="314"/>
    </row>
    <row r="54" spans="1:16" ht="16.2">
      <c r="A54" s="564"/>
      <c r="B54" s="565" t="s">
        <v>459</v>
      </c>
      <c r="C54" s="298"/>
      <c r="D54" s="298"/>
      <c r="E54" s="298"/>
      <c r="F54" s="296"/>
      <c r="G54" s="563">
        <f>G9</f>
        <v>0</v>
      </c>
      <c r="H54" s="563">
        <f t="shared" ref="H54:L54" si="6">H9</f>
        <v>0</v>
      </c>
      <c r="I54" s="563">
        <f t="shared" si="6"/>
        <v>0</v>
      </c>
      <c r="J54" s="563">
        <f t="shared" si="6"/>
        <v>0</v>
      </c>
      <c r="K54" s="563">
        <f t="shared" si="6"/>
        <v>1900000</v>
      </c>
      <c r="L54" s="563">
        <f t="shared" si="6"/>
        <v>0</v>
      </c>
      <c r="M54" s="300">
        <f t="shared" ref="M54:M55" si="7">SUM(G54:L54)</f>
        <v>1900000</v>
      </c>
      <c r="N54" s="313"/>
      <c r="O54" s="314"/>
    </row>
    <row r="55" spans="1:16" ht="22.2">
      <c r="A55" s="764" t="s">
        <v>289</v>
      </c>
      <c r="B55" s="765"/>
      <c r="C55" s="298"/>
      <c r="D55" s="298"/>
      <c r="E55" s="298"/>
      <c r="F55" s="296"/>
      <c r="G55" s="769">
        <f>SUM(G53:L54)</f>
        <v>15859685</v>
      </c>
      <c r="H55" s="770"/>
      <c r="I55" s="770"/>
      <c r="J55" s="770"/>
      <c r="K55" s="770"/>
      <c r="L55" s="771"/>
      <c r="M55" s="300">
        <f t="shared" si="7"/>
        <v>15859685</v>
      </c>
      <c r="N55" s="313"/>
      <c r="O55" s="314"/>
    </row>
    <row r="56" spans="1:16" ht="16.2">
      <c r="B56" s="315"/>
      <c r="C56" s="291"/>
      <c r="D56" s="291"/>
      <c r="E56" s="291"/>
      <c r="F56" s="291"/>
      <c r="G56" s="292"/>
      <c r="H56" s="292"/>
      <c r="I56" s="292"/>
      <c r="J56" s="292"/>
      <c r="K56" s="292"/>
      <c r="L56" s="292"/>
      <c r="N56" s="316"/>
      <c r="O56" s="317"/>
    </row>
    <row r="57" spans="1:16" ht="16.2">
      <c r="B57" s="315" t="s">
        <v>271</v>
      </c>
      <c r="C57" s="772" t="s">
        <v>272</v>
      </c>
      <c r="D57" s="772"/>
      <c r="E57" s="772"/>
      <c r="F57" s="772"/>
      <c r="G57" s="318"/>
      <c r="H57" s="318" t="s">
        <v>273</v>
      </c>
      <c r="I57" s="318"/>
      <c r="J57" s="318"/>
      <c r="K57" s="318"/>
      <c r="L57" s="292"/>
      <c r="N57" s="319"/>
      <c r="O57" s="317"/>
    </row>
    <row r="58" spans="1:16" ht="16.2">
      <c r="B58" s="315"/>
      <c r="C58" s="320"/>
      <c r="D58" s="320"/>
      <c r="E58" s="320"/>
      <c r="F58" s="320"/>
      <c r="G58" s="324">
        <f>G8+G10+G14-G45-G49</f>
        <v>37914</v>
      </c>
      <c r="H58" s="324">
        <f t="shared" ref="H58:L58" si="8">H8+H10+H14-H45-H49</f>
        <v>12149794</v>
      </c>
      <c r="I58" s="324">
        <f t="shared" si="8"/>
        <v>739284</v>
      </c>
      <c r="J58" s="324">
        <f t="shared" si="8"/>
        <v>0</v>
      </c>
      <c r="K58" s="324"/>
      <c r="L58" s="324">
        <f t="shared" si="8"/>
        <v>16</v>
      </c>
      <c r="N58" s="319"/>
      <c r="O58" s="317"/>
    </row>
    <row r="59" spans="1:16" ht="16.2">
      <c r="G59" s="325">
        <f>G53-G58</f>
        <v>0</v>
      </c>
      <c r="H59" s="325">
        <f t="shared" ref="H59:L59" si="9">H53-H58</f>
        <v>0</v>
      </c>
      <c r="I59" s="325">
        <f t="shared" si="9"/>
        <v>0</v>
      </c>
      <c r="J59" s="325">
        <f t="shared" si="9"/>
        <v>0</v>
      </c>
      <c r="K59" s="325"/>
      <c r="L59" s="325">
        <f t="shared" si="9"/>
        <v>0</v>
      </c>
      <c r="N59" s="322"/>
      <c r="O59" s="323"/>
      <c r="P59" s="323"/>
    </row>
    <row r="60" spans="1:16" ht="16.2">
      <c r="N60" s="323"/>
      <c r="O60" s="323"/>
      <c r="P60" s="323"/>
    </row>
  </sheetData>
  <mergeCells count="19">
    <mergeCell ref="A49:B49"/>
    <mergeCell ref="A53:B53"/>
    <mergeCell ref="A55:B55"/>
    <mergeCell ref="G55:L55"/>
    <mergeCell ref="C57:F57"/>
    <mergeCell ref="A45:B4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4" priority="2" stopIfTrue="1">
      <formula>AND($O8&gt;0,$O8=$P8)</formula>
    </cfRule>
  </conditionalFormatting>
  <conditionalFormatting sqref="C15:E48">
    <cfRule type="expression" dxfId="3" priority="3" stopIfTrue="1">
      <formula>AND($N15&gt;0,$N15=$O15)</formula>
    </cfRule>
  </conditionalFormatting>
  <conditionalFormatting sqref="C49:E52">
    <cfRule type="expression" dxfId="2" priority="1" stopIfTrue="1">
      <formula>AND($N49&gt;0,$N49=$O49)</formula>
    </cfRule>
  </conditionalFormatting>
  <conditionalFormatting sqref="G8:L9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1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77" t="str">
        <f>封面!$A$4</f>
        <v>彰化縣地方教育發展基金－彰化縣秀水鄉馬興國民小學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7"/>
      <c r="P1" s="677"/>
      <c r="Q1" s="677"/>
      <c r="R1" s="677"/>
      <c r="S1" s="677"/>
      <c r="T1" s="677"/>
      <c r="U1" s="677"/>
      <c r="V1" s="676"/>
      <c r="W1" s="676"/>
    </row>
    <row r="2" spans="1:23" ht="19.8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806"/>
      <c r="T3" s="806"/>
      <c r="U3" s="806"/>
      <c r="V3" s="806"/>
      <c r="W3" s="806"/>
    </row>
    <row r="4" spans="1:23" ht="19.8">
      <c r="A4" s="677" t="s">
        <v>55</v>
      </c>
      <c r="B4" s="677"/>
      <c r="C4" s="677"/>
      <c r="D4" s="677"/>
      <c r="E4" s="677"/>
      <c r="F4" s="677"/>
      <c r="G4" s="677"/>
      <c r="H4" s="677"/>
      <c r="I4" s="677"/>
      <c r="J4" s="677"/>
      <c r="K4" s="677"/>
      <c r="L4" s="677"/>
      <c r="M4" s="677"/>
      <c r="N4" s="677"/>
      <c r="O4" s="677"/>
      <c r="P4" s="677"/>
      <c r="Q4" s="677"/>
      <c r="R4" s="677"/>
      <c r="S4" s="677"/>
      <c r="T4" s="677"/>
      <c r="U4" s="677"/>
      <c r="V4" s="677"/>
      <c r="W4" s="677"/>
    </row>
    <row r="5" spans="1:23" ht="19.5" customHeight="1">
      <c r="A5" s="678" t="str">
        <f>封面!$E$10&amp;封面!$H$10&amp;封面!$I$10&amp;封面!$J$10&amp;封面!$K$10&amp;封面!L10</f>
        <v>中華民國111年7月份</v>
      </c>
      <c r="B5" s="678"/>
      <c r="C5" s="678"/>
      <c r="D5" s="678"/>
      <c r="E5" s="678"/>
      <c r="F5" s="678"/>
      <c r="G5" s="678"/>
      <c r="H5" s="678"/>
      <c r="I5" s="678"/>
      <c r="J5" s="678"/>
      <c r="K5" s="678"/>
      <c r="L5" s="678"/>
      <c r="M5" s="678"/>
      <c r="N5" s="678"/>
      <c r="O5" s="678"/>
      <c r="P5" s="678"/>
      <c r="Q5" s="678"/>
      <c r="R5" s="678"/>
      <c r="S5" s="678"/>
      <c r="T5" s="678"/>
      <c r="U5" s="678"/>
      <c r="V5" s="678"/>
      <c r="W5" s="678"/>
    </row>
    <row r="6" spans="1:23" ht="13.2" hidden="1">
      <c r="A6" s="678"/>
      <c r="B6" s="678"/>
      <c r="C6" s="678"/>
      <c r="D6" s="678"/>
      <c r="E6" s="678"/>
      <c r="F6" s="678"/>
      <c r="G6" s="678"/>
      <c r="H6" s="678"/>
      <c r="I6" s="678"/>
      <c r="J6" s="678"/>
      <c r="K6" s="678"/>
      <c r="L6" s="678"/>
      <c r="M6" s="678"/>
      <c r="N6" s="678"/>
      <c r="O6" s="678"/>
      <c r="P6" s="678"/>
      <c r="Q6" s="678"/>
      <c r="R6" s="678"/>
      <c r="S6" s="678"/>
      <c r="T6" s="678"/>
      <c r="U6" s="678"/>
      <c r="V6" s="678"/>
      <c r="W6" s="678"/>
    </row>
    <row r="7" spans="1:23" s="9" customFormat="1" ht="16.2">
      <c r="A7" s="807" t="s">
        <v>1</v>
      </c>
      <c r="B7" s="807"/>
      <c r="C7" s="807"/>
      <c r="D7" s="807"/>
      <c r="E7" s="807"/>
      <c r="F7" s="807"/>
      <c r="G7" s="807"/>
      <c r="H7" s="807"/>
      <c r="I7" s="807"/>
      <c r="J7" s="807"/>
      <c r="K7" s="807"/>
      <c r="L7" s="807"/>
      <c r="M7" s="807"/>
      <c r="N7" s="807"/>
      <c r="O7" s="807"/>
      <c r="P7" s="807"/>
      <c r="Q7" s="807"/>
      <c r="R7" s="807"/>
      <c r="S7" s="807"/>
      <c r="T7" s="807"/>
      <c r="U7" s="807"/>
      <c r="V7" s="807"/>
      <c r="W7" s="807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86" t="s">
        <v>62</v>
      </c>
      <c r="B10" s="787"/>
      <c r="C10" s="786" t="s">
        <v>57</v>
      </c>
      <c r="D10" s="792"/>
      <c r="E10" s="792"/>
      <c r="F10" s="792"/>
      <c r="G10" s="793"/>
      <c r="H10" s="802" t="s">
        <v>58</v>
      </c>
      <c r="I10" s="785" t="s">
        <v>56</v>
      </c>
      <c r="J10" s="728"/>
      <c r="K10" s="728"/>
      <c r="L10" s="728"/>
      <c r="M10" s="728"/>
      <c r="N10" s="728"/>
      <c r="O10" s="728"/>
      <c r="P10" s="785" t="s">
        <v>60</v>
      </c>
      <c r="Q10" s="728"/>
      <c r="R10" s="728"/>
      <c r="S10" s="728"/>
      <c r="T10" s="728"/>
      <c r="U10" s="786" t="s">
        <v>61</v>
      </c>
      <c r="V10" s="792"/>
      <c r="W10" s="793"/>
    </row>
    <row r="11" spans="1:23" s="21" customFormat="1" ht="12.75" hidden="1" customHeight="1">
      <c r="A11" s="788"/>
      <c r="B11" s="789"/>
      <c r="C11" s="794"/>
      <c r="D11" s="795"/>
      <c r="E11" s="795"/>
      <c r="F11" s="795"/>
      <c r="G11" s="796"/>
      <c r="H11" s="730"/>
      <c r="I11" s="728"/>
      <c r="J11" s="728"/>
      <c r="K11" s="728"/>
      <c r="L11" s="728"/>
      <c r="M11" s="728"/>
      <c r="N11" s="728"/>
      <c r="O11" s="728"/>
      <c r="P11" s="728"/>
      <c r="Q11" s="728"/>
      <c r="R11" s="728"/>
      <c r="S11" s="728"/>
      <c r="T11" s="728"/>
      <c r="U11" s="794"/>
      <c r="V11" s="795"/>
      <c r="W11" s="796"/>
    </row>
    <row r="12" spans="1:23" s="22" customFormat="1" ht="12.75" customHeight="1">
      <c r="A12" s="788"/>
      <c r="B12" s="789"/>
      <c r="C12" s="794"/>
      <c r="D12" s="795"/>
      <c r="E12" s="795"/>
      <c r="F12" s="795"/>
      <c r="G12" s="796"/>
      <c r="H12" s="730"/>
      <c r="I12" s="728"/>
      <c r="J12" s="728"/>
      <c r="K12" s="728"/>
      <c r="L12" s="728"/>
      <c r="M12" s="728"/>
      <c r="N12" s="728"/>
      <c r="O12" s="728"/>
      <c r="P12" s="728"/>
      <c r="Q12" s="728"/>
      <c r="R12" s="728"/>
      <c r="S12" s="728"/>
      <c r="T12" s="728"/>
      <c r="U12" s="794"/>
      <c r="V12" s="795"/>
      <c r="W12" s="796"/>
    </row>
    <row r="13" spans="1:23" s="5" customFormat="1" ht="12.75" hidden="1" customHeight="1">
      <c r="A13" s="788"/>
      <c r="B13" s="789"/>
      <c r="C13" s="797"/>
      <c r="D13" s="798"/>
      <c r="E13" s="798"/>
      <c r="F13" s="795"/>
      <c r="G13" s="796"/>
      <c r="H13" s="730"/>
      <c r="I13" s="728"/>
      <c r="J13" s="728"/>
      <c r="K13" s="728"/>
      <c r="L13" s="728"/>
      <c r="M13" s="728"/>
      <c r="N13" s="728"/>
      <c r="O13" s="728"/>
      <c r="P13" s="728"/>
      <c r="Q13" s="728"/>
      <c r="R13" s="728"/>
      <c r="S13" s="728"/>
      <c r="T13" s="728"/>
      <c r="U13" s="794"/>
      <c r="V13" s="795"/>
      <c r="W13" s="796"/>
    </row>
    <row r="14" spans="1:23" s="5" customFormat="1" ht="12.75" customHeight="1">
      <c r="A14" s="788"/>
      <c r="B14" s="789"/>
      <c r="C14" s="799"/>
      <c r="D14" s="800"/>
      <c r="E14" s="800"/>
      <c r="F14" s="801"/>
      <c r="G14" s="682"/>
      <c r="H14" s="730"/>
      <c r="I14" s="728"/>
      <c r="J14" s="728"/>
      <c r="K14" s="728"/>
      <c r="L14" s="728"/>
      <c r="M14" s="728"/>
      <c r="N14" s="728"/>
      <c r="O14" s="728"/>
      <c r="P14" s="728"/>
      <c r="Q14" s="728"/>
      <c r="R14" s="728"/>
      <c r="S14" s="728"/>
      <c r="T14" s="728"/>
      <c r="U14" s="794"/>
      <c r="V14" s="795"/>
      <c r="W14" s="796"/>
    </row>
    <row r="15" spans="1:23" s="5" customFormat="1" ht="12.75" customHeight="1">
      <c r="A15" s="788"/>
      <c r="B15" s="789"/>
      <c r="C15" s="803" t="s">
        <v>324</v>
      </c>
      <c r="D15" s="803" t="s">
        <v>325</v>
      </c>
      <c r="E15" s="803" t="s">
        <v>326</v>
      </c>
      <c r="F15" s="802" t="s">
        <v>63</v>
      </c>
      <c r="G15" s="802" t="s">
        <v>64</v>
      </c>
      <c r="H15" s="730"/>
      <c r="I15" s="785" t="s">
        <v>59</v>
      </c>
      <c r="J15" s="728"/>
      <c r="K15" s="728"/>
      <c r="L15" s="728"/>
      <c r="M15" s="785" t="s">
        <v>12</v>
      </c>
      <c r="N15" s="728"/>
      <c r="O15" s="728"/>
      <c r="P15" s="728"/>
      <c r="Q15" s="728"/>
      <c r="R15" s="728"/>
      <c r="S15" s="728"/>
      <c r="T15" s="728"/>
      <c r="U15" s="794"/>
      <c r="V15" s="795"/>
      <c r="W15" s="796"/>
    </row>
    <row r="16" spans="1:23" s="5" customFormat="1" ht="12.75" customHeight="1">
      <c r="A16" s="788"/>
      <c r="B16" s="789"/>
      <c r="C16" s="804"/>
      <c r="D16" s="804"/>
      <c r="E16" s="804"/>
      <c r="F16" s="804"/>
      <c r="G16" s="730"/>
      <c r="H16" s="730"/>
      <c r="I16" s="728"/>
      <c r="J16" s="728"/>
      <c r="K16" s="728"/>
      <c r="L16" s="728"/>
      <c r="M16" s="728"/>
      <c r="N16" s="728"/>
      <c r="O16" s="728"/>
      <c r="P16" s="728"/>
      <c r="Q16" s="728"/>
      <c r="R16" s="728"/>
      <c r="S16" s="728"/>
      <c r="T16" s="728"/>
      <c r="U16" s="794"/>
      <c r="V16" s="795"/>
      <c r="W16" s="796"/>
    </row>
    <row r="17" spans="1:23" s="5" customFormat="1" ht="12.75" customHeight="1">
      <c r="A17" s="788"/>
      <c r="B17" s="789"/>
      <c r="C17" s="804"/>
      <c r="D17" s="804"/>
      <c r="E17" s="804"/>
      <c r="F17" s="804"/>
      <c r="G17" s="730"/>
      <c r="H17" s="730"/>
      <c r="I17" s="785" t="s">
        <v>66</v>
      </c>
      <c r="J17" s="809" t="s">
        <v>65</v>
      </c>
      <c r="K17" s="785" t="s">
        <v>67</v>
      </c>
      <c r="L17" s="805" t="s">
        <v>68</v>
      </c>
      <c r="M17" s="785" t="s">
        <v>4</v>
      </c>
      <c r="N17" s="805" t="s">
        <v>68</v>
      </c>
      <c r="O17" s="728"/>
      <c r="P17" s="728"/>
      <c r="Q17" s="728"/>
      <c r="R17" s="728"/>
      <c r="S17" s="728"/>
      <c r="T17" s="728"/>
      <c r="U17" s="794"/>
      <c r="V17" s="795"/>
      <c r="W17" s="796"/>
    </row>
    <row r="18" spans="1:23" s="5" customFormat="1" ht="12.75" customHeight="1">
      <c r="A18" s="788"/>
      <c r="B18" s="789"/>
      <c r="C18" s="804"/>
      <c r="D18" s="804"/>
      <c r="E18" s="804"/>
      <c r="F18" s="804"/>
      <c r="G18" s="730"/>
      <c r="H18" s="730"/>
      <c r="I18" s="728"/>
      <c r="J18" s="809"/>
      <c r="K18" s="728"/>
      <c r="L18" s="728"/>
      <c r="M18" s="728"/>
      <c r="N18" s="728"/>
      <c r="O18" s="728"/>
      <c r="P18" s="728"/>
      <c r="Q18" s="728"/>
      <c r="R18" s="728"/>
      <c r="S18" s="728"/>
      <c r="T18" s="728"/>
      <c r="U18" s="794"/>
      <c r="V18" s="795"/>
      <c r="W18" s="796"/>
    </row>
    <row r="19" spans="1:23" s="5" customFormat="1" ht="12.75" hidden="1" customHeight="1">
      <c r="A19" s="788"/>
      <c r="B19" s="789"/>
      <c r="C19" s="433"/>
      <c r="D19" s="433"/>
      <c r="E19" s="433"/>
      <c r="F19" s="343"/>
      <c r="G19" s="730"/>
      <c r="H19" s="730"/>
      <c r="I19" s="728"/>
      <c r="J19" s="809"/>
      <c r="K19" s="728"/>
      <c r="L19" s="728"/>
      <c r="M19" s="728"/>
      <c r="N19" s="728"/>
      <c r="O19" s="728"/>
      <c r="P19" s="728"/>
      <c r="Q19" s="728"/>
      <c r="R19" s="728"/>
      <c r="S19" s="728"/>
      <c r="T19" s="728"/>
      <c r="U19" s="794"/>
      <c r="V19" s="795"/>
      <c r="W19" s="796"/>
    </row>
    <row r="20" spans="1:23" s="5" customFormat="1" ht="12.75" hidden="1" customHeight="1">
      <c r="A20" s="790"/>
      <c r="B20" s="791"/>
      <c r="C20" s="434"/>
      <c r="D20" s="434"/>
      <c r="E20" s="434"/>
      <c r="F20" s="340"/>
      <c r="G20" s="683"/>
      <c r="H20" s="683"/>
      <c r="I20" s="728"/>
      <c r="J20" s="809"/>
      <c r="K20" s="728"/>
      <c r="L20" s="728"/>
      <c r="M20" s="728"/>
      <c r="N20" s="728"/>
      <c r="O20" s="728"/>
      <c r="P20" s="728"/>
      <c r="Q20" s="728"/>
      <c r="R20" s="728"/>
      <c r="S20" s="728"/>
      <c r="T20" s="728"/>
      <c r="U20" s="808"/>
      <c r="V20" s="801"/>
      <c r="W20" s="682"/>
    </row>
    <row r="21" spans="1:23" ht="14.25" customHeight="1">
      <c r="A21" s="99" t="s">
        <v>44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781"/>
      <c r="S21" s="782"/>
      <c r="T21" s="783"/>
      <c r="U21" s="784"/>
      <c r="V21" s="782"/>
      <c r="W21" s="783"/>
    </row>
    <row r="22" spans="1:23">
      <c r="A22" s="101"/>
      <c r="B22" s="102" t="s">
        <v>44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773"/>
      <c r="S22" s="774"/>
      <c r="T22" s="775"/>
      <c r="U22" s="776"/>
      <c r="V22" s="774"/>
      <c r="W22" s="775"/>
    </row>
    <row r="23" spans="1:23">
      <c r="A23" s="101"/>
      <c r="B23" s="102" t="s">
        <v>49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773"/>
      <c r="S23" s="774"/>
      <c r="T23" s="775"/>
      <c r="U23" s="776"/>
      <c r="V23" s="774"/>
      <c r="W23" s="775"/>
    </row>
    <row r="24" spans="1:23" ht="14.25" customHeight="1">
      <c r="A24" s="103" t="s">
        <v>45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773"/>
      <c r="S24" s="774"/>
      <c r="T24" s="775"/>
      <c r="U24" s="776"/>
      <c r="V24" s="774"/>
      <c r="W24" s="775"/>
    </row>
    <row r="25" spans="1:23">
      <c r="A25" s="101"/>
      <c r="B25" s="102" t="s">
        <v>45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773"/>
      <c r="S25" s="774"/>
      <c r="T25" s="775"/>
      <c r="U25" s="776"/>
      <c r="V25" s="774"/>
      <c r="W25" s="775"/>
    </row>
    <row r="26" spans="1:23">
      <c r="A26" s="101"/>
      <c r="B26" s="102" t="s">
        <v>49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773"/>
      <c r="S26" s="774"/>
      <c r="T26" s="775"/>
      <c r="U26" s="776"/>
      <c r="V26" s="774"/>
      <c r="W26" s="775"/>
    </row>
    <row r="27" spans="1:23" ht="14.25" customHeight="1">
      <c r="A27" s="103" t="s">
        <v>46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773"/>
      <c r="S27" s="774"/>
      <c r="T27" s="775"/>
      <c r="U27" s="776"/>
      <c r="V27" s="774"/>
      <c r="W27" s="775"/>
    </row>
    <row r="28" spans="1:23">
      <c r="A28" s="101"/>
      <c r="B28" s="102" t="s">
        <v>46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773"/>
      <c r="S28" s="774"/>
      <c r="T28" s="775"/>
      <c r="U28" s="776"/>
      <c r="V28" s="774"/>
      <c r="W28" s="775"/>
    </row>
    <row r="29" spans="1:23">
      <c r="A29" s="101"/>
      <c r="B29" s="102" t="s">
        <v>49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773"/>
      <c r="S29" s="774"/>
      <c r="T29" s="775"/>
      <c r="U29" s="776"/>
      <c r="V29" s="774"/>
      <c r="W29" s="775"/>
    </row>
    <row r="30" spans="1:23" ht="14.25" customHeight="1">
      <c r="A30" s="103" t="s">
        <v>47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773"/>
      <c r="S30" s="774"/>
      <c r="T30" s="775"/>
      <c r="U30" s="776"/>
      <c r="V30" s="774"/>
      <c r="W30" s="775"/>
    </row>
    <row r="31" spans="1:23">
      <c r="A31" s="101"/>
      <c r="B31" s="102" t="s">
        <v>47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773"/>
      <c r="S31" s="774"/>
      <c r="T31" s="775"/>
      <c r="U31" s="776"/>
      <c r="V31" s="774"/>
      <c r="W31" s="775"/>
    </row>
    <row r="32" spans="1:23" ht="12.75" customHeight="1">
      <c r="A32" s="101"/>
      <c r="B32" s="102" t="s">
        <v>49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773"/>
      <c r="S32" s="774"/>
      <c r="T32" s="775"/>
      <c r="U32" s="776"/>
      <c r="V32" s="774"/>
      <c r="W32" s="775"/>
    </row>
    <row r="33" spans="1:23" ht="14.25" customHeight="1">
      <c r="A33" s="101" t="s">
        <v>48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773"/>
      <c r="S33" s="774"/>
      <c r="T33" s="775"/>
      <c r="U33" s="776"/>
      <c r="V33" s="774"/>
      <c r="W33" s="775"/>
    </row>
    <row r="34" spans="1:23">
      <c r="A34" s="103"/>
      <c r="B34" s="102" t="s">
        <v>48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773"/>
      <c r="S34" s="774"/>
      <c r="T34" s="775"/>
      <c r="U34" s="776"/>
      <c r="V34" s="774"/>
      <c r="W34" s="775"/>
    </row>
    <row r="35" spans="1:23">
      <c r="A35" s="101"/>
      <c r="B35" s="102" t="s">
        <v>49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773"/>
      <c r="S35" s="774"/>
      <c r="T35" s="775"/>
      <c r="U35" s="776"/>
      <c r="V35" s="774"/>
      <c r="W35" s="775"/>
    </row>
    <row r="36" spans="1:23" ht="14.25" customHeight="1">
      <c r="A36" s="101" t="s">
        <v>223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773"/>
      <c r="S36" s="774"/>
      <c r="T36" s="775"/>
      <c r="U36" s="776"/>
      <c r="V36" s="774"/>
      <c r="W36" s="775"/>
    </row>
    <row r="37" spans="1:23" ht="14.25" customHeight="1">
      <c r="A37" s="103"/>
      <c r="B37" s="102" t="s">
        <v>223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773"/>
      <c r="S37" s="774"/>
      <c r="T37" s="775"/>
      <c r="U37" s="776"/>
      <c r="V37" s="774"/>
      <c r="W37" s="775"/>
    </row>
    <row r="38" spans="1:23">
      <c r="A38" s="101"/>
      <c r="B38" s="102" t="s">
        <v>49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773"/>
      <c r="S38" s="774"/>
      <c r="T38" s="775"/>
      <c r="U38" s="776"/>
      <c r="V38" s="774"/>
      <c r="W38" s="775"/>
    </row>
    <row r="39" spans="1:23" ht="9.75" customHeight="1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773"/>
      <c r="S39" s="774"/>
      <c r="T39" s="775"/>
      <c r="U39" s="776"/>
      <c r="V39" s="774"/>
      <c r="W39" s="775"/>
    </row>
    <row r="40" spans="1:23" ht="14.25" customHeight="1">
      <c r="A40" s="107" t="s">
        <v>173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777"/>
      <c r="S40" s="778"/>
      <c r="T40" s="779"/>
      <c r="U40" s="780"/>
      <c r="V40" s="778"/>
      <c r="W40" s="779"/>
    </row>
    <row r="41" spans="1:23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>
      <c r="A1" s="677" t="str">
        <f>封面!$A$4</f>
        <v>彰化縣地方教育發展基金－彰化縣秀水鄉馬興國民小學</v>
      </c>
      <c r="B1" s="677"/>
      <c r="C1" s="677"/>
      <c r="D1" s="677"/>
      <c r="E1" s="677"/>
      <c r="F1" s="677"/>
      <c r="G1" s="677"/>
      <c r="H1" s="677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93" t="s">
        <v>38</v>
      </c>
      <c r="B4" s="693"/>
      <c r="C4" s="693"/>
      <c r="D4" s="693"/>
      <c r="E4" s="693"/>
      <c r="F4" s="693"/>
      <c r="G4" s="693"/>
      <c r="H4" s="693"/>
    </row>
    <row r="5" spans="1:16" ht="6.75" customHeight="1"/>
    <row r="6" spans="1:16" ht="16.2">
      <c r="A6" s="678" t="str">
        <f>封面!$E$10&amp;封面!$H$10&amp;封面!$I$10&amp;封面!$J$10&amp;封面!$K$10&amp;封面!L10</f>
        <v>中華民國111年7月份</v>
      </c>
      <c r="B6" s="678"/>
      <c r="C6" s="678"/>
      <c r="D6" s="678"/>
      <c r="E6" s="678"/>
      <c r="F6" s="678"/>
      <c r="G6" s="678"/>
      <c r="H6" s="678"/>
    </row>
    <row r="7" spans="1:16" ht="14.25" customHeight="1">
      <c r="A7" s="621" t="s">
        <v>39</v>
      </c>
      <c r="B7" s="621"/>
      <c r="C7" s="621"/>
      <c r="D7" s="621"/>
      <c r="E7" s="621"/>
      <c r="F7" s="621"/>
      <c r="G7" s="621"/>
      <c r="H7" s="621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814" t="s">
        <v>40</v>
      </c>
      <c r="I9" s="150"/>
    </row>
    <row r="10" spans="1:16" ht="14.25" customHeight="1">
      <c r="A10" s="810" t="s">
        <v>41</v>
      </c>
      <c r="B10" s="812"/>
      <c r="C10" s="820" t="s">
        <v>51</v>
      </c>
      <c r="D10" s="812" t="s">
        <v>52</v>
      </c>
      <c r="E10" s="820" t="s">
        <v>53</v>
      </c>
      <c r="F10" s="820" t="s">
        <v>54</v>
      </c>
      <c r="G10" s="810" t="s">
        <v>42</v>
      </c>
      <c r="H10" s="815"/>
      <c r="I10" s="150"/>
      <c r="K10" s="207" t="s">
        <v>193</v>
      </c>
      <c r="L10" s="207" t="s">
        <v>194</v>
      </c>
      <c r="M10" s="817" t="s">
        <v>209</v>
      </c>
      <c r="N10" s="822" t="s">
        <v>222</v>
      </c>
      <c r="O10" s="819" t="s">
        <v>220</v>
      </c>
    </row>
    <row r="11" spans="1:16" ht="13.8">
      <c r="A11" s="811"/>
      <c r="B11" s="813"/>
      <c r="C11" s="821"/>
      <c r="D11" s="813"/>
      <c r="E11" s="821"/>
      <c r="F11" s="821"/>
      <c r="G11" s="811"/>
      <c r="H11" s="816"/>
      <c r="I11" s="150"/>
      <c r="M11" s="818"/>
      <c r="N11" s="823"/>
      <c r="O11" s="818"/>
      <c r="P11" s="252" t="s">
        <v>221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43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D15-[6]固定項目!D15</f>
        <v>-761342</v>
      </c>
      <c r="L15" s="254">
        <f>E15-[6]固定項目!E15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D16-[6]固定項目!D16</f>
        <v>0</v>
      </c>
      <c r="L16" s="255">
        <f>E16-[6]固定項目!E16</f>
        <v>0</v>
      </c>
      <c r="P16" s="257"/>
    </row>
    <row r="17" spans="1:18" ht="21" hidden="1" customHeight="1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D17-[6]固定項目!D17</f>
        <v>0</v>
      </c>
      <c r="L17" s="255">
        <f>E17-[6]固定項目!E17</f>
        <v>0</v>
      </c>
      <c r="P17" s="257"/>
    </row>
    <row r="18" spans="1:18" ht="26.25" customHeight="1">
      <c r="A18" s="19"/>
      <c r="B18" s="96" t="s">
        <v>172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D18-[7]固定項目!D18</f>
        <v>0</v>
      </c>
      <c r="L18" s="255">
        <f>E18-[7]固定項目!E18</f>
        <v>0</v>
      </c>
      <c r="O18" s="256">
        <f>M18-N18+[7]固定項目!O18</f>
        <v>0</v>
      </c>
      <c r="P18" s="257"/>
    </row>
    <row r="19" spans="1:18" ht="21" hidden="1" customHeight="1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D19-[7]固定項目!D20</f>
        <v>0</v>
      </c>
      <c r="L19" s="255">
        <f>E19-[7]固定項目!E20</f>
        <v>0</v>
      </c>
      <c r="O19" s="256">
        <f>M19-N19+[7]固定項目!O20</f>
        <v>0</v>
      </c>
      <c r="P19" s="257"/>
    </row>
    <row r="20" spans="1:18" ht="21" customHeight="1">
      <c r="A20" s="20"/>
      <c r="B20" s="97" t="s">
        <v>44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D20-[7]固定項目!D21</f>
        <v>0</v>
      </c>
      <c r="L20" s="255">
        <f>E20-[7]固定項目!E21</f>
        <v>0</v>
      </c>
      <c r="O20" s="256">
        <f>M20-N20+[7]固定項目!O21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D21-[7]固定項目!D23</f>
        <v>0</v>
      </c>
      <c r="L21" s="255">
        <f>E21-[7]固定項目!E23</f>
        <v>0</v>
      </c>
      <c r="O21" s="256">
        <f>M21-N21+[7]固定項目!O23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>
      <c r="A22" s="20"/>
      <c r="B22" s="97" t="s">
        <v>45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D22-[7]固定項目!D24</f>
        <v>-65606</v>
      </c>
      <c r="L22" s="255">
        <f>E22-[7]固定項目!E24</f>
        <v>0</v>
      </c>
      <c r="M22" s="238">
        <v>32803</v>
      </c>
      <c r="O22" s="256">
        <f>M22-N22+[7]固定項目!O24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D23-[7]固定項目!D26</f>
        <v>0</v>
      </c>
      <c r="L23" s="255">
        <f>E23-[7]固定項目!E26</f>
        <v>0</v>
      </c>
      <c r="O23" s="256">
        <f>M23-N23+[7]固定項目!O26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>
      <c r="A24" s="20"/>
      <c r="B24" s="97" t="s">
        <v>46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D24-[7]固定項目!D27</f>
        <v>0</v>
      </c>
      <c r="L24" s="255">
        <f>E24-[7]固定項目!E27</f>
        <v>-462500</v>
      </c>
      <c r="M24" s="238">
        <v>83429</v>
      </c>
      <c r="O24" s="256">
        <f>M24-N24+[7]固定項目!O27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D25-[7]固定項目!D29</f>
        <v>0</v>
      </c>
      <c r="L25" s="255">
        <f>E25-[7]固定項目!E29</f>
        <v>0</v>
      </c>
      <c r="O25" s="256">
        <f>M25-N25+[7]固定項目!O29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>
      <c r="A26" s="20"/>
      <c r="B26" s="97" t="s">
        <v>47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D26-[7]固定項目!D30</f>
        <v>-112736</v>
      </c>
      <c r="L26" s="255">
        <f>E26-[7]固定項目!E30</f>
        <v>-343611</v>
      </c>
      <c r="M26" s="238">
        <v>24242</v>
      </c>
      <c r="O26" s="256">
        <f>M26-N26+[7]固定項目!O30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D27-[7]固定項目!D32</f>
        <v>0</v>
      </c>
      <c r="L27" s="255">
        <f>E27-[7]固定項目!E32</f>
        <v>0</v>
      </c>
      <c r="O27" s="256">
        <f>M27-N27+[7]固定項目!O32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>
      <c r="A28" s="20"/>
      <c r="B28" s="97" t="s">
        <v>48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D28-[7]固定項目!D33</f>
        <v>0</v>
      </c>
      <c r="L28" s="255">
        <f>E28-[7]固定項目!E33</f>
        <v>-98000</v>
      </c>
      <c r="M28" s="238">
        <v>5018</v>
      </c>
      <c r="O28" s="256">
        <f>M28-N28+[7]固定項目!O33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D29-[7]固定項目!D35</f>
        <v>0</v>
      </c>
      <c r="L29" s="255">
        <f>E29-[7]固定項目!E35</f>
        <v>0</v>
      </c>
      <c r="O29" s="256">
        <f>M29-N29+[7]固定項目!O35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>
      <c r="A30" s="20"/>
      <c r="B30" s="97" t="s">
        <v>203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D30-[7]固定項目!D36</f>
        <v>-596000</v>
      </c>
      <c r="L30" s="255">
        <f>E30-[7]固定項目!E36</f>
        <v>-111600</v>
      </c>
      <c r="M30" s="238">
        <v>13923</v>
      </c>
      <c r="O30" s="256">
        <f>M30-N30+[7]固定項目!O36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D31-[7]固定項目!D38</f>
        <v>0</v>
      </c>
      <c r="L31" s="255">
        <f>E31-[7]固定項目!E38</f>
        <v>0</v>
      </c>
      <c r="O31" s="256">
        <f>M31-N31+[7]固定項目!O38</f>
        <v>0</v>
      </c>
      <c r="P31" s="251">
        <f t="shared" si="2"/>
        <v>0</v>
      </c>
    </row>
    <row r="32" spans="1:18" ht="21" customHeight="1">
      <c r="A32" s="20"/>
      <c r="B32" s="97" t="s">
        <v>49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D32-[7]固定項目!D39</f>
        <v>0</v>
      </c>
      <c r="L32" s="255">
        <f>E32-[7]固定項目!E39</f>
        <v>0</v>
      </c>
      <c r="O32" s="256">
        <f>M32-N32+[7]固定項目!O39</f>
        <v>0</v>
      </c>
      <c r="P32" s="251">
        <f t="shared" si="2"/>
        <v>0</v>
      </c>
    </row>
    <row r="33" spans="1:16" ht="21" hidden="1" customHeight="1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D33-[7]固定項目!D41</f>
        <v>0</v>
      </c>
      <c r="L33" s="255">
        <f>E33-[7]固定項目!E41</f>
        <v>0</v>
      </c>
      <c r="O33" s="256">
        <f>M33-N33+[7]固定項目!O41</f>
        <v>0</v>
      </c>
      <c r="P33" s="251">
        <f t="shared" si="2"/>
        <v>0</v>
      </c>
    </row>
    <row r="34" spans="1:16" ht="21" customHeight="1">
      <c r="A34" s="20"/>
      <c r="B34" s="97" t="s">
        <v>204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D34-[7]固定項目!D42</f>
        <v>0</v>
      </c>
      <c r="L34" s="255">
        <f>E34-[7]固定項目!E42</f>
        <v>0</v>
      </c>
      <c r="M34" s="253"/>
      <c r="N34" s="253">
        <f>E34</f>
        <v>0</v>
      </c>
      <c r="O34" s="256">
        <f>M34-N34+[7]固定項目!O42</f>
        <v>0</v>
      </c>
      <c r="P34" s="251">
        <f t="shared" si="2"/>
        <v>0</v>
      </c>
    </row>
    <row r="35" spans="1:16" ht="21" hidden="1" customHeight="1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D35-[7]固定項目!D44</f>
        <v>0</v>
      </c>
      <c r="L35" s="255">
        <f>E35-[7]固定項目!E44</f>
        <v>0</v>
      </c>
      <c r="O35" s="256">
        <f>M35-N35+[7]固定項目!O44</f>
        <v>0</v>
      </c>
      <c r="P35" s="251">
        <f t="shared" si="2"/>
        <v>0</v>
      </c>
    </row>
    <row r="36" spans="1:16" ht="21" customHeight="1">
      <c r="A36" s="20"/>
      <c r="B36" s="97" t="s">
        <v>50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D36-[7]固定項目!D45</f>
        <v>0</v>
      </c>
      <c r="L36" s="255">
        <f>E36-[7]固定項目!E45</f>
        <v>0</v>
      </c>
      <c r="O36" s="256">
        <f>M36-N36+[7]固定項目!O45</f>
        <v>0</v>
      </c>
      <c r="P36" s="251">
        <f t="shared" si="2"/>
        <v>0</v>
      </c>
    </row>
    <row r="37" spans="1:16" ht="21" hidden="1" customHeight="1">
      <c r="A37" s="233"/>
      <c r="B37" s="234"/>
      <c r="C37" s="14"/>
      <c r="D37" s="14"/>
      <c r="E37" s="14"/>
      <c r="F37" s="14"/>
      <c r="G37" s="275"/>
      <c r="H37" s="14"/>
      <c r="O37" s="256">
        <f>M37-N37+[7]固定項目!O47</f>
        <v>0</v>
      </c>
      <c r="P37" s="251">
        <f t="shared" si="2"/>
        <v>0</v>
      </c>
    </row>
    <row r="38" spans="1:16" ht="21" customHeight="1">
      <c r="A38" s="233"/>
      <c r="B38" s="235" t="s">
        <v>205</v>
      </c>
      <c r="C38" s="14"/>
      <c r="D38" s="14"/>
      <c r="E38" s="14"/>
      <c r="F38" s="14"/>
      <c r="G38" s="275"/>
      <c r="H38" s="14"/>
      <c r="O38" s="256">
        <f>M38-N38+[7]固定項目!O48</f>
        <v>0</v>
      </c>
      <c r="P38" s="251">
        <f t="shared" si="2"/>
        <v>0</v>
      </c>
    </row>
    <row r="39" spans="1:16" ht="21" hidden="1" customHeight="1">
      <c r="A39" s="233"/>
      <c r="B39" s="234"/>
      <c r="C39" s="14"/>
      <c r="D39" s="14"/>
      <c r="E39" s="14"/>
      <c r="F39" s="14"/>
      <c r="G39" s="275"/>
      <c r="H39" s="14"/>
      <c r="O39" s="256">
        <f>M39-N39+[7]固定項目!O50</f>
        <v>0</v>
      </c>
      <c r="P39" s="251">
        <f t="shared" si="2"/>
        <v>0</v>
      </c>
    </row>
    <row r="40" spans="1:16" ht="21" customHeight="1">
      <c r="A40" s="233"/>
      <c r="B40" s="235" t="s">
        <v>206</v>
      </c>
      <c r="C40" s="14"/>
      <c r="D40" s="14"/>
      <c r="E40" s="14"/>
      <c r="F40" s="14"/>
      <c r="G40" s="275"/>
      <c r="H40" s="14"/>
      <c r="O40" s="256">
        <f>M40-N40+[7]固定項目!O51</f>
        <v>0</v>
      </c>
      <c r="P40" s="251">
        <f t="shared" si="2"/>
        <v>0</v>
      </c>
    </row>
    <row r="41" spans="1:16" ht="21" hidden="1" customHeight="1">
      <c r="A41" s="233"/>
      <c r="B41" s="234"/>
      <c r="C41" s="14"/>
      <c r="D41" s="14"/>
      <c r="E41" s="14"/>
      <c r="F41" s="14"/>
      <c r="G41" s="275"/>
      <c r="H41" s="14"/>
      <c r="O41" s="256">
        <f>M41-N41+[7]固定項目!O53</f>
        <v>0</v>
      </c>
      <c r="P41" s="251">
        <f t="shared" si="2"/>
        <v>0</v>
      </c>
    </row>
    <row r="42" spans="1:16" ht="21" customHeight="1">
      <c r="A42" s="233"/>
      <c r="B42" s="236" t="s">
        <v>207</v>
      </c>
      <c r="C42" s="14"/>
      <c r="D42" s="14"/>
      <c r="E42" s="14"/>
      <c r="F42" s="14"/>
      <c r="G42" s="275"/>
      <c r="H42" s="14"/>
      <c r="O42" s="256">
        <f>M42-N42+[7]固定項目!O54</f>
        <v>0</v>
      </c>
      <c r="P42" s="25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>
      <c r="A1" s="596" t="s">
        <v>147</v>
      </c>
      <c r="B1" s="596"/>
    </row>
    <row r="2" spans="1:8">
      <c r="A2" s="597" t="s">
        <v>148</v>
      </c>
      <c r="B2" s="596"/>
    </row>
    <row r="3" spans="1:8">
      <c r="A3" s="596" t="s">
        <v>149</v>
      </c>
      <c r="B3" s="596"/>
    </row>
    <row r="4" spans="1:8" ht="27.6">
      <c r="A4" s="596" t="s">
        <v>150</v>
      </c>
      <c r="B4" s="596"/>
      <c r="C4" s="184" t="s">
        <v>182</v>
      </c>
      <c r="D4" s="196" t="s">
        <v>183</v>
      </c>
      <c r="E4" s="164" t="s">
        <v>185</v>
      </c>
      <c r="F4" s="196" t="s">
        <v>184</v>
      </c>
    </row>
    <row r="5" spans="1:8">
      <c r="A5" s="597" t="s">
        <v>151</v>
      </c>
      <c r="B5" s="596"/>
      <c r="C5" s="185" t="e">
        <f>VLOOKUP("應付費用",平衡!$N$13:$U$64,4,0)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19700</v>
      </c>
    </row>
    <row r="6" spans="1:8" ht="14.4" thickBot="1">
      <c r="A6" s="594" t="s">
        <v>152</v>
      </c>
      <c r="B6" s="595"/>
      <c r="C6" s="183" t="s">
        <v>166</v>
      </c>
      <c r="D6" s="198">
        <f>VLOOKUP("銀行存款-縣庫存款",平衡!$E$13:$H$41,4,0)+VLOOKUP("零用及週轉金",平衡!$D$13:$H$41,5,0)</f>
        <v>1636231</v>
      </c>
      <c r="E6" s="198" t="e">
        <f>VLOOKUP("基金餘額",平衡!$K$13:$U$64,7,0)+C5</f>
        <v>#N/A</v>
      </c>
      <c r="F6" s="169" t="s">
        <v>165</v>
      </c>
    </row>
    <row r="7" spans="1:8" ht="14.4" thickBot="1">
      <c r="A7" s="594" t="s">
        <v>153</v>
      </c>
      <c r="B7" s="595"/>
      <c r="C7" s="183" t="s">
        <v>167</v>
      </c>
      <c r="D7" s="198">
        <f>VLOOKUP("銀行存款-專戶存款",平衡!$E$13:$H$41,4,0)+VLOOKUP("其他預付款",平衡!$D$13:$H$41,5,0)</f>
        <v>13187110</v>
      </c>
      <c r="E7" s="198">
        <f>VLOOKUP("應付代收款",平衡!$N$13:$U$41,7,0)+VLOOKUP("存入保證金",平衡!$N$13:$U$41,7,0)</f>
        <v>13187110</v>
      </c>
      <c r="F7" s="169" t="s">
        <v>168</v>
      </c>
    </row>
    <row r="8" spans="1:8" ht="20.399999999999999" thickBot="1">
      <c r="A8" s="80" t="s">
        <v>127</v>
      </c>
      <c r="B8" s="81" t="s">
        <v>128</v>
      </c>
      <c r="C8" s="183" t="s">
        <v>164</v>
      </c>
      <c r="D8" s="199">
        <f>VLOOKUP("合計：",平衡!$A$13:$H$41,8,0)</f>
        <v>56965329</v>
      </c>
      <c r="E8" s="199">
        <f>VLOOKUP("合計：",平衡!$K$13:$U$41,10,0)</f>
        <v>56965329</v>
      </c>
    </row>
    <row r="9" spans="1:8" ht="16.8" thickBot="1">
      <c r="A9" s="76" t="s">
        <v>129</v>
      </c>
      <c r="B9" s="77" t="s">
        <v>130</v>
      </c>
      <c r="C9" s="183" t="s">
        <v>171</v>
      </c>
      <c r="D9" s="199">
        <f>VLOOKUP("基金用途",餘絀表!$C$16:$T$44,18,0)</f>
        <v>22231913</v>
      </c>
      <c r="E9" s="199">
        <f>VLOOKUP("合       計",各項費用!$D$12:$Q$86,14)</f>
        <v>22231913</v>
      </c>
      <c r="F9" s="199">
        <f>縣庫對帳!P3</f>
        <v>22231913</v>
      </c>
    </row>
    <row r="10" spans="1:8" ht="33" thickBot="1">
      <c r="A10" s="76" t="s">
        <v>131</v>
      </c>
      <c r="B10" s="77" t="s">
        <v>132</v>
      </c>
      <c r="C10" s="183" t="s">
        <v>330</v>
      </c>
      <c r="D10" s="199">
        <f>VLOOKUP("基金來源",餘絀表!$C$16:$T$44,18,0)</f>
        <v>21523702</v>
      </c>
      <c r="E10" s="199">
        <f>縣庫對帳!N3</f>
        <v>21523702</v>
      </c>
      <c r="F10" s="199"/>
      <c r="G10" s="199"/>
      <c r="H10" s="164" t="e">
        <f>D13-E13</f>
        <v>#N/A</v>
      </c>
    </row>
    <row r="11" spans="1:8" ht="27" customHeight="1">
      <c r="A11" s="589" t="s">
        <v>27</v>
      </c>
      <c r="B11" s="589" t="s">
        <v>133</v>
      </c>
      <c r="C11" s="183" t="s">
        <v>341</v>
      </c>
      <c r="D11" s="199">
        <f>VLOOKUP("政府撥入收入",餘絀表!$C$16:$T$44,18,0)</f>
        <v>21501919</v>
      </c>
      <c r="E11" s="199"/>
      <c r="F11" s="199">
        <f>VLOOKUP("政府撥入收入",收支!$B$14:$N$61,13,0)</f>
        <v>21501919</v>
      </c>
      <c r="G11" s="199">
        <f>VLOOKUP("政府撥入收入",對照表!$B$1:$E$28,4,0)</f>
        <v>21501919</v>
      </c>
    </row>
    <row r="12" spans="1:8" ht="27.6">
      <c r="A12" s="592"/>
      <c r="B12" s="592"/>
      <c r="C12" s="183" t="s">
        <v>342</v>
      </c>
      <c r="D12" s="199"/>
      <c r="E12" s="199"/>
      <c r="F12" s="199">
        <f>VLOOKUP("收入",收支!$A$14:$N$61,14,0)</f>
        <v>25135465</v>
      </c>
      <c r="G12" s="199">
        <f>VLOOKUP("基金來源",對照表!$A$1:$E$28,5,0)</f>
        <v>25135465</v>
      </c>
    </row>
    <row r="13" spans="1:8">
      <c r="A13" s="592"/>
      <c r="B13" s="592"/>
      <c r="C13" s="183" t="s">
        <v>327</v>
      </c>
      <c r="D13" s="199" t="e">
        <f>IF(封面!J10=12,0,VLOOKUP($G$13,平衡!$N$13:$U$41,7,0))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1246538</v>
      </c>
      <c r="G13" s="197" t="e">
        <f>IF(E13&gt;=0,"本期賸餘","本期短絀")</f>
        <v>#N/A</v>
      </c>
    </row>
    <row r="14" spans="1:8">
      <c r="A14" s="592"/>
      <c r="B14" s="592"/>
      <c r="C14" s="183" t="s">
        <v>328</v>
      </c>
      <c r="D14" s="199">
        <f>IF(封面!J10=12,0,VLOOKUP("本期賸餘(短絀－)",餘絀表!$C$16:$T$47,18,0))</f>
        <v>-708211</v>
      </c>
      <c r="E14" s="199"/>
      <c r="F14" s="199">
        <f>IF(封面!K11=12,0,VLOOKUP("本期賸餘(短絀)",對照表!$A$1:$C$28,3,0))</f>
        <v>-708211</v>
      </c>
      <c r="G14" s="197"/>
    </row>
    <row r="15" spans="1:8">
      <c r="A15" s="592"/>
      <c r="B15" s="592"/>
      <c r="C15" s="183" t="s">
        <v>329</v>
      </c>
      <c r="D15" s="199">
        <f>IF(封面!J12=12,0,VLOOKUP($G$15,平衡!$K$13:$U$41,10,0))</f>
        <v>43778219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329</v>
      </c>
    </row>
    <row r="16" spans="1:8" ht="14.4" thickBot="1">
      <c r="A16" s="593"/>
      <c r="B16" s="593"/>
      <c r="C16" s="183" t="s">
        <v>156</v>
      </c>
      <c r="D16" s="199">
        <f>VLOOKUP("國民教育計畫",主要業務!$B$15:$J$24,7,0)</f>
        <v>2483259</v>
      </c>
      <c r="E16" s="199">
        <f>VLOOKUP("國民教育計畫",餘絀表!$C$16:$T$44,9,0)</f>
        <v>0</v>
      </c>
    </row>
    <row r="17" spans="1:8">
      <c r="A17" s="589" t="s">
        <v>145</v>
      </c>
      <c r="B17" s="589" t="s">
        <v>134</v>
      </c>
      <c r="C17" s="183" t="s">
        <v>157</v>
      </c>
      <c r="D17" s="199">
        <f>主要業務!H17</f>
        <v>22231913</v>
      </c>
      <c r="E17" s="199">
        <f>VLOOKUP("國民教育計畫",餘絀表!$C$16:$T$44,18,0)</f>
        <v>22231913</v>
      </c>
    </row>
    <row r="18" spans="1:8">
      <c r="A18" s="590"/>
      <c r="B18" s="592"/>
      <c r="C18" s="183" t="s">
        <v>158</v>
      </c>
      <c r="D18" s="199">
        <f>主要業務!H20</f>
        <v>0</v>
      </c>
      <c r="E18" s="199" t="e">
        <f>VLOOKUP("建築及設備計畫",餘絀表!$C$16:$T$44,9,0)</f>
        <v>#N/A</v>
      </c>
    </row>
    <row r="19" spans="1:8">
      <c r="A19" s="590"/>
      <c r="B19" s="592"/>
      <c r="C19" s="183" t="s">
        <v>159</v>
      </c>
      <c r="D19" s="199">
        <f>主要業務!H22</f>
        <v>0</v>
      </c>
      <c r="E19" s="199" t="e">
        <f>VLOOKUP("建築及設備計畫",餘絀表!$C$16:$T$44,18,0)</f>
        <v>#N/A</v>
      </c>
    </row>
    <row r="20" spans="1:8">
      <c r="A20" s="590"/>
      <c r="B20" s="592"/>
      <c r="C20" s="183" t="s">
        <v>331</v>
      </c>
      <c r="D20" s="199">
        <f>VLOOKUP("用人費用",各項費用!$F$12:$Q$100,12,0)</f>
        <v>21220997</v>
      </c>
      <c r="E20" s="199">
        <f>VLOOKUP("人事支出",收支!$B$14:$N$61,13,0)</f>
        <v>21220997</v>
      </c>
      <c r="F20" s="199">
        <f>VLOOKUP("用人費用",對照表!$B$1:$E$28,4,0)</f>
        <v>21220997</v>
      </c>
    </row>
    <row r="21" spans="1:8">
      <c r="A21" s="590"/>
      <c r="B21" s="592"/>
      <c r="C21" s="183" t="s">
        <v>332</v>
      </c>
      <c r="D21" s="199">
        <f>IF(E21=0,0,資產!F10+H21)</f>
        <v>1840957</v>
      </c>
      <c r="E21" s="199">
        <f>VLOOKUP("折舊、折耗及攤銷",收支!$B$14:$N$61,13,0)</f>
        <v>1653341</v>
      </c>
      <c r="F21" s="199">
        <f>VLOOKUP("折舊、折耗及攤銷",對照表!$H$1:$J$28,3,0)</f>
        <v>1653341</v>
      </c>
      <c r="G21" s="460" t="s">
        <v>343</v>
      </c>
      <c r="H21" s="461">
        <f>464532-4645</f>
        <v>459887</v>
      </c>
    </row>
    <row r="22" spans="1:8">
      <c r="A22" s="590"/>
      <c r="B22" s="592"/>
      <c r="C22" s="183" t="s">
        <v>302</v>
      </c>
      <c r="D22" s="198">
        <v>0</v>
      </c>
      <c r="E22" s="198"/>
      <c r="F22" s="168"/>
    </row>
    <row r="23" spans="1:8">
      <c r="A23" s="590"/>
      <c r="B23" s="592"/>
      <c r="C23" s="183" t="s">
        <v>303</v>
      </c>
      <c r="D23" s="198">
        <f>D28-D22-D24-D25-D26-D27</f>
        <v>-5</v>
      </c>
      <c r="E23" s="198"/>
      <c r="F23" s="168" t="s">
        <v>304</v>
      </c>
    </row>
    <row r="24" spans="1:8">
      <c r="A24" s="590"/>
      <c r="B24" s="592"/>
      <c r="C24" s="183" t="s">
        <v>305</v>
      </c>
      <c r="D24" s="198"/>
      <c r="E24" s="198"/>
      <c r="F24" s="168" t="s">
        <v>306</v>
      </c>
    </row>
    <row r="25" spans="1:8">
      <c r="A25" s="590"/>
      <c r="B25" s="592"/>
      <c r="C25" s="183" t="s">
        <v>307</v>
      </c>
      <c r="D25" s="198">
        <v>0</v>
      </c>
      <c r="E25" s="198"/>
      <c r="F25" s="168"/>
    </row>
    <row r="26" spans="1:8" ht="14.4" thickBot="1">
      <c r="A26" s="591"/>
      <c r="B26" s="593"/>
      <c r="C26" s="183" t="s">
        <v>308</v>
      </c>
      <c r="D26" s="198"/>
      <c r="E26" s="198"/>
      <c r="F26" s="168"/>
      <c r="H26" s="166"/>
    </row>
    <row r="27" spans="1:8" ht="33" thickBot="1">
      <c r="A27" s="76" t="s">
        <v>135</v>
      </c>
      <c r="B27" s="77" t="s">
        <v>146</v>
      </c>
      <c r="C27" s="183" t="s">
        <v>309</v>
      </c>
      <c r="D27" s="198">
        <v>5</v>
      </c>
      <c r="E27" s="198"/>
      <c r="F27" s="168"/>
    </row>
    <row r="28" spans="1:8" ht="33" thickBot="1">
      <c r="A28" s="76" t="s">
        <v>69</v>
      </c>
      <c r="B28" s="77" t="s">
        <v>136</v>
      </c>
      <c r="C28" s="183" t="s">
        <v>310</v>
      </c>
      <c r="D28" s="198"/>
      <c r="E28" s="198"/>
      <c r="F28" s="168" t="s">
        <v>311</v>
      </c>
    </row>
    <row r="29" spans="1:8" ht="16.8" thickBot="1">
      <c r="A29" s="76" t="s">
        <v>137</v>
      </c>
      <c r="B29" s="77" t="s">
        <v>138</v>
      </c>
      <c r="D29" s="186"/>
      <c r="E29" s="186"/>
    </row>
    <row r="30" spans="1:8">
      <c r="A30" s="589" t="s">
        <v>139</v>
      </c>
      <c r="B30" s="589" t="s">
        <v>140</v>
      </c>
      <c r="D30" s="199"/>
      <c r="E30" s="199"/>
      <c r="F30" s="186"/>
    </row>
    <row r="31" spans="1:8">
      <c r="A31" s="592"/>
      <c r="B31" s="592"/>
      <c r="D31" s="199"/>
      <c r="E31" s="199"/>
      <c r="F31" s="186"/>
    </row>
    <row r="32" spans="1:8" ht="14.4" thickBot="1">
      <c r="A32" s="591"/>
      <c r="B32" s="591"/>
      <c r="D32" s="199"/>
      <c r="E32" s="199"/>
      <c r="F32" s="186"/>
    </row>
    <row r="33" spans="1:2" ht="14.4" thickBot="1">
      <c r="A33" s="200"/>
      <c r="B33" s="200"/>
    </row>
    <row r="34" spans="1:2" ht="14.4" thickBot="1">
      <c r="A34" s="200"/>
      <c r="B34" s="200"/>
    </row>
    <row r="35" spans="1:2" ht="14.4" thickBot="1">
      <c r="A35" s="200"/>
      <c r="B35" s="200"/>
    </row>
    <row r="36" spans="1:2" ht="20.399999999999999" thickBot="1">
      <c r="A36" s="75"/>
      <c r="B36" s="75"/>
    </row>
    <row r="37" spans="1:2" ht="20.399999999999999" thickBot="1">
      <c r="A37" s="78" t="s">
        <v>127</v>
      </c>
      <c r="B37" s="79" t="s">
        <v>141</v>
      </c>
    </row>
    <row r="38" spans="1:2" ht="16.8" thickBot="1">
      <c r="A38" s="152" t="s">
        <v>142</v>
      </c>
      <c r="B38" s="77" t="s">
        <v>162</v>
      </c>
    </row>
    <row r="39" spans="1:2" ht="33" thickBot="1">
      <c r="A39" s="152" t="s">
        <v>129</v>
      </c>
      <c r="B39" s="77" t="s">
        <v>163</v>
      </c>
    </row>
    <row r="40" spans="1:2" ht="16.8" thickBot="1">
      <c r="A40" s="152" t="s">
        <v>143</v>
      </c>
      <c r="B40" s="77" t="s">
        <v>144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74" priority="71" stopIfTrue="1">
      <formula>$D$16&lt;&gt;$E$16</formula>
    </cfRule>
  </conditionalFormatting>
  <conditionalFormatting sqref="D32:E32">
    <cfRule type="expression" dxfId="73" priority="64" stopIfTrue="1">
      <formula>$D$32&lt;&gt;$E$32</formula>
    </cfRule>
  </conditionalFormatting>
  <conditionalFormatting sqref="D17:E17">
    <cfRule type="expression" dxfId="72" priority="62" stopIfTrue="1">
      <formula>$D17&lt;&gt;$E17</formula>
    </cfRule>
  </conditionalFormatting>
  <conditionalFormatting sqref="D18:E18 E19">
    <cfRule type="expression" dxfId="71" priority="61" stopIfTrue="1">
      <formula>$D$18&lt;&gt;$E$18</formula>
    </cfRule>
  </conditionalFormatting>
  <conditionalFormatting sqref="E28">
    <cfRule type="expression" dxfId="70" priority="55" stopIfTrue="1">
      <formula>$D$30&lt;&gt;$E$30</formula>
    </cfRule>
  </conditionalFormatting>
  <conditionalFormatting sqref="E29">
    <cfRule type="expression" dxfId="69" priority="54" stopIfTrue="1">
      <formula>$F$31&lt;&gt;0</formula>
    </cfRule>
  </conditionalFormatting>
  <conditionalFormatting sqref="E30">
    <cfRule type="expression" dxfId="68" priority="51" stopIfTrue="1">
      <formula>$D$30&lt;&gt;$E$30</formula>
    </cfRule>
  </conditionalFormatting>
  <conditionalFormatting sqref="E31">
    <cfRule type="expression" dxfId="67" priority="50" stopIfTrue="1">
      <formula>$F$31&lt;&gt;0</formula>
    </cfRule>
  </conditionalFormatting>
  <conditionalFormatting sqref="D27 D22:E23">
    <cfRule type="expression" dxfId="66" priority="48" stopIfTrue="1">
      <formula>$D23&lt;&gt;$E23</formula>
    </cfRule>
  </conditionalFormatting>
  <conditionalFormatting sqref="E28">
    <cfRule type="expression" dxfId="65" priority="47" stopIfTrue="1">
      <formula>$D$30&lt;&gt;$E$30</formula>
    </cfRule>
  </conditionalFormatting>
  <conditionalFormatting sqref="E28">
    <cfRule type="expression" dxfId="64" priority="46" stopIfTrue="1">
      <formula>$D28&lt;&gt;$E28</formula>
    </cfRule>
  </conditionalFormatting>
  <conditionalFormatting sqref="D28">
    <cfRule type="expression" dxfId="63" priority="45" stopIfTrue="1">
      <formula>$D28&lt;&gt;$E28</formula>
    </cfRule>
  </conditionalFormatting>
  <conditionalFormatting sqref="D24:D26">
    <cfRule type="expression" dxfId="62" priority="44" stopIfTrue="1">
      <formula>$D24&lt;&gt;$E24</formula>
    </cfRule>
  </conditionalFormatting>
  <conditionalFormatting sqref="D27">
    <cfRule type="expression" dxfId="61" priority="43" stopIfTrue="1">
      <formula>$D27&lt;&gt;$E27</formula>
    </cfRule>
  </conditionalFormatting>
  <conditionalFormatting sqref="D14 F14:F15">
    <cfRule type="expression" dxfId="60" priority="42">
      <formula>$D$14&lt;&gt;$F$14</formula>
    </cfRule>
  </conditionalFormatting>
  <conditionalFormatting sqref="F15">
    <cfRule type="expression" dxfId="59" priority="34">
      <formula>$E$15&lt;&gt;$F$15</formula>
    </cfRule>
    <cfRule type="expression" dxfId="58" priority="35">
      <formula>$D$15&lt;&gt;$F$15</formula>
    </cfRule>
    <cfRule type="expression" dxfId="57" priority="40">
      <formula>$D$14&lt;&gt;$F$14</formula>
    </cfRule>
  </conditionalFormatting>
  <conditionalFormatting sqref="D15">
    <cfRule type="expression" dxfId="56" priority="38">
      <formula>$D$15&lt;&gt;$F$15</formula>
    </cfRule>
    <cfRule type="expression" dxfId="55" priority="39">
      <formula>$D$15&lt;&gt;$E$15</formula>
    </cfRule>
  </conditionalFormatting>
  <conditionalFormatting sqref="E15">
    <cfRule type="expression" dxfId="54" priority="36">
      <formula>$E$15&lt;&gt;$F$15</formula>
    </cfRule>
    <cfRule type="expression" dxfId="53" priority="37">
      <formula>$D$15&lt;&gt;$E$15</formula>
    </cfRule>
  </conditionalFormatting>
  <conditionalFormatting sqref="D7:E7">
    <cfRule type="expression" dxfId="52" priority="33">
      <formula>$D$7&lt;&gt;$E$7</formula>
    </cfRule>
  </conditionalFormatting>
  <conditionalFormatting sqref="D8:E8">
    <cfRule type="expression" dxfId="51" priority="32">
      <formula>$D$8&lt;&gt;$E$8</formula>
    </cfRule>
  </conditionalFormatting>
  <conditionalFormatting sqref="E16:E17">
    <cfRule type="expression" dxfId="50" priority="74" stopIfTrue="1">
      <formula>#REF!&lt;&gt;#REF!</formula>
    </cfRule>
  </conditionalFormatting>
  <conditionalFormatting sqref="E18:E19">
    <cfRule type="expression" dxfId="49" priority="95" stopIfTrue="1">
      <formula>#REF!&lt;&gt;#REF!</formula>
    </cfRule>
  </conditionalFormatting>
  <conditionalFormatting sqref="E6:E7">
    <cfRule type="expression" dxfId="48" priority="97" stopIfTrue="1">
      <formula>$D13&lt;&gt;$F13</formula>
    </cfRule>
  </conditionalFormatting>
  <conditionalFormatting sqref="D20:F20">
    <cfRule type="expression" dxfId="47" priority="16">
      <formula>$D$20&lt;&gt;$E$20</formula>
    </cfRule>
  </conditionalFormatting>
  <conditionalFormatting sqref="D20:F20">
    <cfRule type="expression" dxfId="46" priority="15">
      <formula>$E$20&lt;&gt;$F$20</formula>
    </cfRule>
  </conditionalFormatting>
  <conditionalFormatting sqref="D21:F21">
    <cfRule type="expression" dxfId="45" priority="10">
      <formula>$D$21&lt;&gt;$E$21</formula>
    </cfRule>
  </conditionalFormatting>
  <conditionalFormatting sqref="D21:F21">
    <cfRule type="expression" dxfId="44" priority="9">
      <formula>$D$21&lt;&gt;$F$21</formula>
    </cfRule>
  </conditionalFormatting>
  <conditionalFormatting sqref="D9:F9">
    <cfRule type="expression" dxfId="43" priority="6">
      <formula>$D$9&lt;&gt;$F$9</formula>
    </cfRule>
    <cfRule type="expression" dxfId="42" priority="7">
      <formula>$D$9&lt;&gt;$E$9</formula>
    </cfRule>
  </conditionalFormatting>
  <conditionalFormatting sqref="D10:G10">
    <cfRule type="expression" dxfId="41" priority="3">
      <formula>$D$10&lt;&gt;$E$10</formula>
    </cfRule>
  </conditionalFormatting>
  <conditionalFormatting sqref="F12:G12">
    <cfRule type="expression" dxfId="40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860" t="s">
        <v>86</v>
      </c>
      <c r="B1" s="861"/>
      <c r="C1" s="861"/>
      <c r="D1" s="861"/>
      <c r="E1" s="861"/>
      <c r="F1" s="861"/>
      <c r="G1" s="861"/>
      <c r="H1" s="861"/>
      <c r="I1" s="861"/>
      <c r="J1" s="861"/>
      <c r="K1" s="861"/>
      <c r="L1" s="861"/>
      <c r="M1" s="861"/>
      <c r="N1" s="861"/>
      <c r="O1" s="861"/>
      <c r="P1" s="861"/>
      <c r="Q1" s="861"/>
      <c r="R1" s="862"/>
    </row>
    <row r="2" spans="1:85">
      <c r="A2" s="863" t="str">
        <f>"茲列出 貴機關"&amp;封面!H10&amp;封面!J10&amp;"01至"&amp;封面!H10&amp;封面!J10&amp;封面!O10&amp;"歲出分配餘額暨支付明細，送請詳加核對"</f>
        <v>茲列出 貴機關111701至111731歲出分配餘額暨支付明細，送請詳加核對</v>
      </c>
      <c r="B2" s="864"/>
      <c r="C2" s="864"/>
      <c r="D2" s="864"/>
      <c r="E2" s="864"/>
      <c r="F2" s="864"/>
      <c r="G2" s="864"/>
      <c r="H2" s="864"/>
      <c r="I2" s="864"/>
      <c r="J2" s="864"/>
      <c r="K2" s="864"/>
      <c r="L2" s="864"/>
      <c r="M2" s="864"/>
      <c r="N2" s="864"/>
      <c r="O2" s="864"/>
      <c r="P2" s="864"/>
      <c r="Q2" s="864"/>
      <c r="R2" s="865"/>
    </row>
    <row r="3" spans="1:85">
      <c r="A3" s="866" t="s">
        <v>87</v>
      </c>
      <c r="B3" s="867"/>
      <c r="C3" s="867"/>
      <c r="D3" s="867"/>
      <c r="E3" s="867"/>
      <c r="F3" s="867"/>
      <c r="G3" s="867"/>
      <c r="H3" s="867"/>
      <c r="I3" s="867"/>
      <c r="J3" s="867"/>
      <c r="K3" s="867"/>
      <c r="L3" s="867"/>
      <c r="M3" s="867"/>
      <c r="N3" s="867"/>
      <c r="O3" s="867"/>
      <c r="P3" s="867"/>
      <c r="Q3" s="867"/>
      <c r="R3" s="868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35" t="s">
        <v>88</v>
      </c>
      <c r="D5" s="835"/>
      <c r="E5" s="835"/>
      <c r="F5" s="835"/>
      <c r="G5" s="835"/>
      <c r="H5" s="835" t="s">
        <v>89</v>
      </c>
      <c r="I5" s="835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90</v>
      </c>
      <c r="C6" s="859"/>
      <c r="D6" s="838"/>
      <c r="E6" s="838"/>
      <c r="F6" s="857" t="s">
        <v>91</v>
      </c>
      <c r="G6" s="833"/>
      <c r="H6" s="833"/>
      <c r="I6" s="833"/>
      <c r="J6" s="833"/>
      <c r="K6" s="833"/>
      <c r="L6" s="33"/>
      <c r="M6" s="33"/>
      <c r="N6" s="33"/>
      <c r="O6" s="33"/>
      <c r="P6" s="33"/>
      <c r="Q6" s="33"/>
      <c r="R6" s="40"/>
    </row>
    <row r="7" spans="1:85">
      <c r="A7" s="38"/>
      <c r="B7" s="857" t="s">
        <v>92</v>
      </c>
      <c r="C7" s="857"/>
      <c r="D7" s="857"/>
      <c r="E7" s="857"/>
      <c r="F7" s="857"/>
      <c r="G7" s="857"/>
      <c r="H7" s="857"/>
      <c r="I7" s="857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57" t="s">
        <v>93</v>
      </c>
      <c r="C8" s="857"/>
      <c r="D8" s="857"/>
      <c r="E8" s="857"/>
      <c r="F8" s="857"/>
      <c r="G8" s="857"/>
      <c r="H8" s="857"/>
      <c r="I8" s="857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94</v>
      </c>
      <c r="B9" s="839" t="s">
        <v>95</v>
      </c>
      <c r="C9" s="839"/>
      <c r="D9" s="839"/>
      <c r="E9" s="839"/>
      <c r="F9" s="839"/>
      <c r="G9" s="839"/>
      <c r="H9" s="839"/>
      <c r="I9" s="839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58" t="s">
        <v>96</v>
      </c>
      <c r="B10" s="835"/>
      <c r="C10" s="835"/>
      <c r="D10" s="836"/>
      <c r="E10" s="834" t="s">
        <v>97</v>
      </c>
      <c r="F10" s="836"/>
      <c r="G10" s="834" t="s">
        <v>98</v>
      </c>
      <c r="H10" s="836"/>
      <c r="I10" s="834" t="s">
        <v>99</v>
      </c>
      <c r="J10" s="836"/>
      <c r="K10" s="834" t="s">
        <v>74</v>
      </c>
      <c r="L10" s="836"/>
      <c r="M10" s="834" t="s">
        <v>100</v>
      </c>
      <c r="N10" s="835"/>
      <c r="O10" s="835"/>
      <c r="P10" s="835"/>
      <c r="Q10" s="835"/>
      <c r="R10" s="836"/>
    </row>
    <row r="11" spans="1:85" ht="52.5" customHeight="1">
      <c r="A11" s="828" t="s">
        <v>101</v>
      </c>
      <c r="B11" s="829"/>
      <c r="C11" s="829"/>
      <c r="D11" s="830"/>
      <c r="E11" s="850" t="s">
        <v>102</v>
      </c>
      <c r="F11" s="851"/>
      <c r="G11" s="824">
        <v>1053704</v>
      </c>
      <c r="H11" s="825"/>
      <c r="I11" s="824">
        <v>365251010501182</v>
      </c>
      <c r="J11" s="825"/>
      <c r="K11" s="826">
        <v>26000</v>
      </c>
      <c r="L11" s="827"/>
      <c r="M11" s="828" t="s">
        <v>103</v>
      </c>
      <c r="N11" s="829"/>
      <c r="O11" s="829"/>
      <c r="P11" s="829"/>
      <c r="Q11" s="829"/>
      <c r="R11" s="830"/>
      <c r="S11" s="45" t="s">
        <v>104</v>
      </c>
    </row>
    <row r="12" spans="1:85" ht="54" customHeight="1">
      <c r="A12" s="828" t="s">
        <v>105</v>
      </c>
      <c r="B12" s="829"/>
      <c r="C12" s="829"/>
      <c r="D12" s="830"/>
      <c r="E12" s="850" t="s">
        <v>106</v>
      </c>
      <c r="F12" s="851"/>
      <c r="G12" s="824">
        <v>1050843</v>
      </c>
      <c r="H12" s="825"/>
      <c r="I12" s="824">
        <v>365251010500989</v>
      </c>
      <c r="J12" s="825"/>
      <c r="K12" s="826">
        <v>129310</v>
      </c>
      <c r="L12" s="827"/>
      <c r="M12" s="828" t="s">
        <v>107</v>
      </c>
      <c r="N12" s="829"/>
      <c r="O12" s="829"/>
      <c r="P12" s="829"/>
      <c r="Q12" s="829"/>
      <c r="R12" s="830"/>
    </row>
    <row r="13" spans="1:85" ht="52.5" customHeight="1">
      <c r="A13" s="828" t="s">
        <v>108</v>
      </c>
      <c r="B13" s="829"/>
      <c r="C13" s="829"/>
      <c r="D13" s="830"/>
      <c r="E13" s="850" t="s">
        <v>102</v>
      </c>
      <c r="F13" s="851"/>
      <c r="G13" s="824">
        <v>1053632</v>
      </c>
      <c r="H13" s="825"/>
      <c r="I13" s="824">
        <v>365251010501170</v>
      </c>
      <c r="J13" s="825"/>
      <c r="K13" s="826">
        <v>12925</v>
      </c>
      <c r="L13" s="827"/>
      <c r="M13" s="828" t="s">
        <v>109</v>
      </c>
      <c r="N13" s="829"/>
      <c r="O13" s="829"/>
      <c r="P13" s="829"/>
      <c r="Q13" s="829"/>
      <c r="R13" s="830"/>
    </row>
    <row r="14" spans="1:85">
      <c r="A14" s="852"/>
      <c r="B14" s="853"/>
      <c r="C14" s="853"/>
      <c r="D14" s="854"/>
      <c r="E14" s="855"/>
      <c r="F14" s="856"/>
      <c r="G14" s="831"/>
      <c r="H14" s="832"/>
      <c r="I14" s="831"/>
      <c r="J14" s="832"/>
      <c r="K14" s="843"/>
      <c r="L14" s="844"/>
      <c r="M14" s="845"/>
      <c r="N14" s="846"/>
      <c r="O14" s="846"/>
      <c r="P14" s="846"/>
      <c r="Q14" s="846"/>
      <c r="R14" s="847"/>
    </row>
    <row r="15" spans="1:85">
      <c r="A15" s="834" t="s">
        <v>110</v>
      </c>
      <c r="B15" s="835"/>
      <c r="C15" s="835"/>
      <c r="D15" s="835"/>
      <c r="E15" s="835"/>
      <c r="F15" s="835"/>
      <c r="G15" s="835"/>
      <c r="H15" s="835"/>
      <c r="I15" s="835"/>
      <c r="J15" s="835"/>
      <c r="K15" s="835"/>
      <c r="L15" s="835"/>
      <c r="M15" s="835"/>
      <c r="N15" s="835"/>
      <c r="O15" s="835"/>
      <c r="P15" s="835"/>
      <c r="Q15" s="835"/>
      <c r="R15" s="83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37" t="s">
        <v>111</v>
      </c>
      <c r="B16" s="83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39" t="s">
        <v>113</v>
      </c>
      <c r="D18" s="839"/>
      <c r="E18" s="43"/>
      <c r="F18" s="43"/>
      <c r="G18" s="42"/>
      <c r="H18" s="42"/>
      <c r="I18" s="839" t="s">
        <v>114</v>
      </c>
      <c r="J18" s="839"/>
      <c r="K18" s="839"/>
      <c r="L18" s="43"/>
      <c r="M18" s="43"/>
      <c r="N18" s="43"/>
      <c r="O18" s="43"/>
      <c r="P18" s="840">
        <f ca="1">NOW()</f>
        <v>44775.34808113426</v>
      </c>
      <c r="Q18" s="841"/>
      <c r="R18" s="84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38" t="s">
        <v>115</v>
      </c>
      <c r="B19" s="838"/>
      <c r="E19" s="848" t="s">
        <v>116</v>
      </c>
      <c r="F19" s="849"/>
      <c r="G19" s="849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33" t="s">
        <v>118</v>
      </c>
      <c r="B20" s="833"/>
      <c r="F20" s="833" t="s">
        <v>118</v>
      </c>
      <c r="G20" s="833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1F25A-6957-4DBA-A252-BFF1C9A5D0A2}">
  <sheetPr>
    <outlinePr summaryBelow="0"/>
    <pageSetUpPr autoPageBreaks="0"/>
  </sheetPr>
  <dimension ref="A1:Z175"/>
  <sheetViews>
    <sheetView showGridLines="0" topLeftCell="A77" workbookViewId="0">
      <selection activeCell="Y88" sqref="Y88"/>
    </sheetView>
  </sheetViews>
  <sheetFormatPr defaultRowHeight="12.75" customHeight="1"/>
  <cols>
    <col min="1" max="1" width="3.109375" customWidth="1"/>
    <col min="2" max="2" width="32.44140625" customWidth="1"/>
    <col min="3" max="3" width="7.44140625" customWidth="1"/>
    <col min="4" max="4" width="1.44140625" customWidth="1"/>
    <col min="5" max="5" width="11.88671875" customWidth="1"/>
    <col min="6" max="6" width="2.33203125" customWidth="1"/>
    <col min="7" max="7" width="11.33203125" customWidth="1"/>
    <col min="8" max="8" width="2" customWidth="1"/>
    <col min="9" max="9" width="12.88671875" customWidth="1"/>
    <col min="10" max="10" width="1.44140625" customWidth="1"/>
    <col min="11" max="11" width="11.5546875" customWidth="1"/>
    <col min="12" max="12" width="2.88671875" customWidth="1"/>
    <col min="13" max="13" width="1" customWidth="1"/>
    <col min="14" max="14" width="9.109375" customWidth="1"/>
    <col min="15" max="15" width="2.33203125" customWidth="1"/>
    <col min="16" max="16" width="2.109375" customWidth="1"/>
    <col min="17" max="17" width="9.33203125" customWidth="1"/>
    <col min="18" max="18" width="4" customWidth="1"/>
    <col min="19" max="19" width="2.88671875" customWidth="1"/>
    <col min="20" max="20" width="12.5546875" customWidth="1"/>
    <col min="21" max="21" width="1" customWidth="1"/>
    <col min="22" max="22" width="1.109375" customWidth="1"/>
    <col min="23" max="23" width="2.88671875" customWidth="1"/>
    <col min="24" max="24" width="9.88671875" customWidth="1"/>
    <col min="25" max="25" width="9.6640625" style="572" bestFit="1" customWidth="1"/>
    <col min="26" max="26" width="9.44140625" customWidth="1"/>
    <col min="27" max="256" width="6.88671875" customWidth="1"/>
    <col min="257" max="257" width="3.109375" customWidth="1"/>
    <col min="258" max="258" width="21.109375" customWidth="1"/>
    <col min="259" max="259" width="7.44140625" customWidth="1"/>
    <col min="260" max="260" width="1.44140625" customWidth="1"/>
    <col min="261" max="261" width="11.88671875" customWidth="1"/>
    <col min="262" max="262" width="2.33203125" customWidth="1"/>
    <col min="263" max="263" width="11.33203125" customWidth="1"/>
    <col min="264" max="264" width="2" customWidth="1"/>
    <col min="265" max="265" width="12.88671875" customWidth="1"/>
    <col min="266" max="266" width="1.44140625" customWidth="1"/>
    <col min="267" max="267" width="11.5546875" customWidth="1"/>
    <col min="268" max="268" width="2.88671875" customWidth="1"/>
    <col min="269" max="269" width="1" customWidth="1"/>
    <col min="270" max="270" width="9.109375" customWidth="1"/>
    <col min="271" max="271" width="2.33203125" customWidth="1"/>
    <col min="272" max="272" width="2.109375" customWidth="1"/>
    <col min="273" max="273" width="9.33203125" customWidth="1"/>
    <col min="274" max="274" width="4" customWidth="1"/>
    <col min="275" max="275" width="2.88671875" customWidth="1"/>
    <col min="276" max="276" width="12.5546875" customWidth="1"/>
    <col min="277" max="277" width="1" customWidth="1"/>
    <col min="278" max="278" width="1.109375" customWidth="1"/>
    <col min="279" max="279" width="2.88671875" customWidth="1"/>
    <col min="280" max="280" width="9.88671875" customWidth="1"/>
    <col min="281" max="512" width="6.88671875" customWidth="1"/>
    <col min="513" max="513" width="3.109375" customWidth="1"/>
    <col min="514" max="514" width="21.109375" customWidth="1"/>
    <col min="515" max="515" width="7.44140625" customWidth="1"/>
    <col min="516" max="516" width="1.44140625" customWidth="1"/>
    <col min="517" max="517" width="11.88671875" customWidth="1"/>
    <col min="518" max="518" width="2.33203125" customWidth="1"/>
    <col min="519" max="519" width="11.33203125" customWidth="1"/>
    <col min="520" max="520" width="2" customWidth="1"/>
    <col min="521" max="521" width="12.88671875" customWidth="1"/>
    <col min="522" max="522" width="1.44140625" customWidth="1"/>
    <col min="523" max="523" width="11.5546875" customWidth="1"/>
    <col min="524" max="524" width="2.88671875" customWidth="1"/>
    <col min="525" max="525" width="1" customWidth="1"/>
    <col min="526" max="526" width="9.109375" customWidth="1"/>
    <col min="527" max="527" width="2.33203125" customWidth="1"/>
    <col min="528" max="528" width="2.109375" customWidth="1"/>
    <col min="529" max="529" width="9.33203125" customWidth="1"/>
    <col min="530" max="530" width="4" customWidth="1"/>
    <col min="531" max="531" width="2.88671875" customWidth="1"/>
    <col min="532" max="532" width="12.5546875" customWidth="1"/>
    <col min="533" max="533" width="1" customWidth="1"/>
    <col min="534" max="534" width="1.109375" customWidth="1"/>
    <col min="535" max="535" width="2.88671875" customWidth="1"/>
    <col min="536" max="536" width="9.88671875" customWidth="1"/>
    <col min="537" max="768" width="6.88671875" customWidth="1"/>
    <col min="769" max="769" width="3.109375" customWidth="1"/>
    <col min="770" max="770" width="21.109375" customWidth="1"/>
    <col min="771" max="771" width="7.44140625" customWidth="1"/>
    <col min="772" max="772" width="1.44140625" customWidth="1"/>
    <col min="773" max="773" width="11.88671875" customWidth="1"/>
    <col min="774" max="774" width="2.33203125" customWidth="1"/>
    <col min="775" max="775" width="11.33203125" customWidth="1"/>
    <col min="776" max="776" width="2" customWidth="1"/>
    <col min="777" max="777" width="12.88671875" customWidth="1"/>
    <col min="778" max="778" width="1.44140625" customWidth="1"/>
    <col min="779" max="779" width="11.5546875" customWidth="1"/>
    <col min="780" max="780" width="2.88671875" customWidth="1"/>
    <col min="781" max="781" width="1" customWidth="1"/>
    <col min="782" max="782" width="9.109375" customWidth="1"/>
    <col min="783" max="783" width="2.33203125" customWidth="1"/>
    <col min="784" max="784" width="2.109375" customWidth="1"/>
    <col min="785" max="785" width="9.33203125" customWidth="1"/>
    <col min="786" max="786" width="4" customWidth="1"/>
    <col min="787" max="787" width="2.88671875" customWidth="1"/>
    <col min="788" max="788" width="12.5546875" customWidth="1"/>
    <col min="789" max="789" width="1" customWidth="1"/>
    <col min="790" max="790" width="1.109375" customWidth="1"/>
    <col min="791" max="791" width="2.88671875" customWidth="1"/>
    <col min="792" max="792" width="9.88671875" customWidth="1"/>
    <col min="793" max="1024" width="6.88671875" customWidth="1"/>
    <col min="1025" max="1025" width="3.109375" customWidth="1"/>
    <col min="1026" max="1026" width="21.109375" customWidth="1"/>
    <col min="1027" max="1027" width="7.44140625" customWidth="1"/>
    <col min="1028" max="1028" width="1.44140625" customWidth="1"/>
    <col min="1029" max="1029" width="11.88671875" customWidth="1"/>
    <col min="1030" max="1030" width="2.33203125" customWidth="1"/>
    <col min="1031" max="1031" width="11.33203125" customWidth="1"/>
    <col min="1032" max="1032" width="2" customWidth="1"/>
    <col min="1033" max="1033" width="12.88671875" customWidth="1"/>
    <col min="1034" max="1034" width="1.44140625" customWidth="1"/>
    <col min="1035" max="1035" width="11.5546875" customWidth="1"/>
    <col min="1036" max="1036" width="2.88671875" customWidth="1"/>
    <col min="1037" max="1037" width="1" customWidth="1"/>
    <col min="1038" max="1038" width="9.109375" customWidth="1"/>
    <col min="1039" max="1039" width="2.33203125" customWidth="1"/>
    <col min="1040" max="1040" width="2.109375" customWidth="1"/>
    <col min="1041" max="1041" width="9.33203125" customWidth="1"/>
    <col min="1042" max="1042" width="4" customWidth="1"/>
    <col min="1043" max="1043" width="2.88671875" customWidth="1"/>
    <col min="1044" max="1044" width="12.5546875" customWidth="1"/>
    <col min="1045" max="1045" width="1" customWidth="1"/>
    <col min="1046" max="1046" width="1.109375" customWidth="1"/>
    <col min="1047" max="1047" width="2.88671875" customWidth="1"/>
    <col min="1048" max="1048" width="9.88671875" customWidth="1"/>
    <col min="1049" max="1280" width="6.88671875" customWidth="1"/>
    <col min="1281" max="1281" width="3.109375" customWidth="1"/>
    <col min="1282" max="1282" width="21.109375" customWidth="1"/>
    <col min="1283" max="1283" width="7.44140625" customWidth="1"/>
    <col min="1284" max="1284" width="1.44140625" customWidth="1"/>
    <col min="1285" max="1285" width="11.88671875" customWidth="1"/>
    <col min="1286" max="1286" width="2.33203125" customWidth="1"/>
    <col min="1287" max="1287" width="11.33203125" customWidth="1"/>
    <col min="1288" max="1288" width="2" customWidth="1"/>
    <col min="1289" max="1289" width="12.88671875" customWidth="1"/>
    <col min="1290" max="1290" width="1.44140625" customWidth="1"/>
    <col min="1291" max="1291" width="11.5546875" customWidth="1"/>
    <col min="1292" max="1292" width="2.88671875" customWidth="1"/>
    <col min="1293" max="1293" width="1" customWidth="1"/>
    <col min="1294" max="1294" width="9.109375" customWidth="1"/>
    <col min="1295" max="1295" width="2.33203125" customWidth="1"/>
    <col min="1296" max="1296" width="2.109375" customWidth="1"/>
    <col min="1297" max="1297" width="9.33203125" customWidth="1"/>
    <col min="1298" max="1298" width="4" customWidth="1"/>
    <col min="1299" max="1299" width="2.88671875" customWidth="1"/>
    <col min="1300" max="1300" width="12.5546875" customWidth="1"/>
    <col min="1301" max="1301" width="1" customWidth="1"/>
    <col min="1302" max="1302" width="1.109375" customWidth="1"/>
    <col min="1303" max="1303" width="2.88671875" customWidth="1"/>
    <col min="1304" max="1304" width="9.88671875" customWidth="1"/>
    <col min="1305" max="1536" width="6.88671875" customWidth="1"/>
    <col min="1537" max="1537" width="3.109375" customWidth="1"/>
    <col min="1538" max="1538" width="21.109375" customWidth="1"/>
    <col min="1539" max="1539" width="7.44140625" customWidth="1"/>
    <col min="1540" max="1540" width="1.44140625" customWidth="1"/>
    <col min="1541" max="1541" width="11.88671875" customWidth="1"/>
    <col min="1542" max="1542" width="2.33203125" customWidth="1"/>
    <col min="1543" max="1543" width="11.33203125" customWidth="1"/>
    <col min="1544" max="1544" width="2" customWidth="1"/>
    <col min="1545" max="1545" width="12.88671875" customWidth="1"/>
    <col min="1546" max="1546" width="1.44140625" customWidth="1"/>
    <col min="1547" max="1547" width="11.5546875" customWidth="1"/>
    <col min="1548" max="1548" width="2.88671875" customWidth="1"/>
    <col min="1549" max="1549" width="1" customWidth="1"/>
    <col min="1550" max="1550" width="9.109375" customWidth="1"/>
    <col min="1551" max="1551" width="2.33203125" customWidth="1"/>
    <col min="1552" max="1552" width="2.109375" customWidth="1"/>
    <col min="1553" max="1553" width="9.33203125" customWidth="1"/>
    <col min="1554" max="1554" width="4" customWidth="1"/>
    <col min="1555" max="1555" width="2.88671875" customWidth="1"/>
    <col min="1556" max="1556" width="12.5546875" customWidth="1"/>
    <col min="1557" max="1557" width="1" customWidth="1"/>
    <col min="1558" max="1558" width="1.109375" customWidth="1"/>
    <col min="1559" max="1559" width="2.88671875" customWidth="1"/>
    <col min="1560" max="1560" width="9.88671875" customWidth="1"/>
    <col min="1561" max="1792" width="6.88671875" customWidth="1"/>
    <col min="1793" max="1793" width="3.109375" customWidth="1"/>
    <col min="1794" max="1794" width="21.109375" customWidth="1"/>
    <col min="1795" max="1795" width="7.44140625" customWidth="1"/>
    <col min="1796" max="1796" width="1.44140625" customWidth="1"/>
    <col min="1797" max="1797" width="11.88671875" customWidth="1"/>
    <col min="1798" max="1798" width="2.33203125" customWidth="1"/>
    <col min="1799" max="1799" width="11.33203125" customWidth="1"/>
    <col min="1800" max="1800" width="2" customWidth="1"/>
    <col min="1801" max="1801" width="12.88671875" customWidth="1"/>
    <col min="1802" max="1802" width="1.44140625" customWidth="1"/>
    <col min="1803" max="1803" width="11.5546875" customWidth="1"/>
    <col min="1804" max="1804" width="2.88671875" customWidth="1"/>
    <col min="1805" max="1805" width="1" customWidth="1"/>
    <col min="1806" max="1806" width="9.109375" customWidth="1"/>
    <col min="1807" max="1807" width="2.33203125" customWidth="1"/>
    <col min="1808" max="1808" width="2.109375" customWidth="1"/>
    <col min="1809" max="1809" width="9.33203125" customWidth="1"/>
    <col min="1810" max="1810" width="4" customWidth="1"/>
    <col min="1811" max="1811" width="2.88671875" customWidth="1"/>
    <col min="1812" max="1812" width="12.5546875" customWidth="1"/>
    <col min="1813" max="1813" width="1" customWidth="1"/>
    <col min="1814" max="1814" width="1.109375" customWidth="1"/>
    <col min="1815" max="1815" width="2.88671875" customWidth="1"/>
    <col min="1816" max="1816" width="9.88671875" customWidth="1"/>
    <col min="1817" max="2048" width="6.88671875" customWidth="1"/>
    <col min="2049" max="2049" width="3.109375" customWidth="1"/>
    <col min="2050" max="2050" width="21.109375" customWidth="1"/>
    <col min="2051" max="2051" width="7.44140625" customWidth="1"/>
    <col min="2052" max="2052" width="1.44140625" customWidth="1"/>
    <col min="2053" max="2053" width="11.88671875" customWidth="1"/>
    <col min="2054" max="2054" width="2.33203125" customWidth="1"/>
    <col min="2055" max="2055" width="11.33203125" customWidth="1"/>
    <col min="2056" max="2056" width="2" customWidth="1"/>
    <col min="2057" max="2057" width="12.88671875" customWidth="1"/>
    <col min="2058" max="2058" width="1.44140625" customWidth="1"/>
    <col min="2059" max="2059" width="11.5546875" customWidth="1"/>
    <col min="2060" max="2060" width="2.88671875" customWidth="1"/>
    <col min="2061" max="2061" width="1" customWidth="1"/>
    <col min="2062" max="2062" width="9.109375" customWidth="1"/>
    <col min="2063" max="2063" width="2.33203125" customWidth="1"/>
    <col min="2064" max="2064" width="2.109375" customWidth="1"/>
    <col min="2065" max="2065" width="9.33203125" customWidth="1"/>
    <col min="2066" max="2066" width="4" customWidth="1"/>
    <col min="2067" max="2067" width="2.88671875" customWidth="1"/>
    <col min="2068" max="2068" width="12.5546875" customWidth="1"/>
    <col min="2069" max="2069" width="1" customWidth="1"/>
    <col min="2070" max="2070" width="1.109375" customWidth="1"/>
    <col min="2071" max="2071" width="2.88671875" customWidth="1"/>
    <col min="2072" max="2072" width="9.88671875" customWidth="1"/>
    <col min="2073" max="2304" width="6.88671875" customWidth="1"/>
    <col min="2305" max="2305" width="3.109375" customWidth="1"/>
    <col min="2306" max="2306" width="21.109375" customWidth="1"/>
    <col min="2307" max="2307" width="7.44140625" customWidth="1"/>
    <col min="2308" max="2308" width="1.44140625" customWidth="1"/>
    <col min="2309" max="2309" width="11.88671875" customWidth="1"/>
    <col min="2310" max="2310" width="2.33203125" customWidth="1"/>
    <col min="2311" max="2311" width="11.33203125" customWidth="1"/>
    <col min="2312" max="2312" width="2" customWidth="1"/>
    <col min="2313" max="2313" width="12.88671875" customWidth="1"/>
    <col min="2314" max="2314" width="1.44140625" customWidth="1"/>
    <col min="2315" max="2315" width="11.5546875" customWidth="1"/>
    <col min="2316" max="2316" width="2.88671875" customWidth="1"/>
    <col min="2317" max="2317" width="1" customWidth="1"/>
    <col min="2318" max="2318" width="9.109375" customWidth="1"/>
    <col min="2319" max="2319" width="2.33203125" customWidth="1"/>
    <col min="2320" max="2320" width="2.109375" customWidth="1"/>
    <col min="2321" max="2321" width="9.33203125" customWidth="1"/>
    <col min="2322" max="2322" width="4" customWidth="1"/>
    <col min="2323" max="2323" width="2.88671875" customWidth="1"/>
    <col min="2324" max="2324" width="12.5546875" customWidth="1"/>
    <col min="2325" max="2325" width="1" customWidth="1"/>
    <col min="2326" max="2326" width="1.109375" customWidth="1"/>
    <col min="2327" max="2327" width="2.88671875" customWidth="1"/>
    <col min="2328" max="2328" width="9.88671875" customWidth="1"/>
    <col min="2329" max="2560" width="6.88671875" customWidth="1"/>
    <col min="2561" max="2561" width="3.109375" customWidth="1"/>
    <col min="2562" max="2562" width="21.109375" customWidth="1"/>
    <col min="2563" max="2563" width="7.44140625" customWidth="1"/>
    <col min="2564" max="2564" width="1.44140625" customWidth="1"/>
    <col min="2565" max="2565" width="11.88671875" customWidth="1"/>
    <col min="2566" max="2566" width="2.33203125" customWidth="1"/>
    <col min="2567" max="2567" width="11.33203125" customWidth="1"/>
    <col min="2568" max="2568" width="2" customWidth="1"/>
    <col min="2569" max="2569" width="12.88671875" customWidth="1"/>
    <col min="2570" max="2570" width="1.44140625" customWidth="1"/>
    <col min="2571" max="2571" width="11.5546875" customWidth="1"/>
    <col min="2572" max="2572" width="2.88671875" customWidth="1"/>
    <col min="2573" max="2573" width="1" customWidth="1"/>
    <col min="2574" max="2574" width="9.109375" customWidth="1"/>
    <col min="2575" max="2575" width="2.33203125" customWidth="1"/>
    <col min="2576" max="2576" width="2.109375" customWidth="1"/>
    <col min="2577" max="2577" width="9.33203125" customWidth="1"/>
    <col min="2578" max="2578" width="4" customWidth="1"/>
    <col min="2579" max="2579" width="2.88671875" customWidth="1"/>
    <col min="2580" max="2580" width="12.5546875" customWidth="1"/>
    <col min="2581" max="2581" width="1" customWidth="1"/>
    <col min="2582" max="2582" width="1.109375" customWidth="1"/>
    <col min="2583" max="2583" width="2.88671875" customWidth="1"/>
    <col min="2584" max="2584" width="9.88671875" customWidth="1"/>
    <col min="2585" max="2816" width="6.88671875" customWidth="1"/>
    <col min="2817" max="2817" width="3.109375" customWidth="1"/>
    <col min="2818" max="2818" width="21.109375" customWidth="1"/>
    <col min="2819" max="2819" width="7.44140625" customWidth="1"/>
    <col min="2820" max="2820" width="1.44140625" customWidth="1"/>
    <col min="2821" max="2821" width="11.88671875" customWidth="1"/>
    <col min="2822" max="2822" width="2.33203125" customWidth="1"/>
    <col min="2823" max="2823" width="11.33203125" customWidth="1"/>
    <col min="2824" max="2824" width="2" customWidth="1"/>
    <col min="2825" max="2825" width="12.88671875" customWidth="1"/>
    <col min="2826" max="2826" width="1.44140625" customWidth="1"/>
    <col min="2827" max="2827" width="11.5546875" customWidth="1"/>
    <col min="2828" max="2828" width="2.88671875" customWidth="1"/>
    <col min="2829" max="2829" width="1" customWidth="1"/>
    <col min="2830" max="2830" width="9.109375" customWidth="1"/>
    <col min="2831" max="2831" width="2.33203125" customWidth="1"/>
    <col min="2832" max="2832" width="2.109375" customWidth="1"/>
    <col min="2833" max="2833" width="9.33203125" customWidth="1"/>
    <col min="2834" max="2834" width="4" customWidth="1"/>
    <col min="2835" max="2835" width="2.88671875" customWidth="1"/>
    <col min="2836" max="2836" width="12.5546875" customWidth="1"/>
    <col min="2837" max="2837" width="1" customWidth="1"/>
    <col min="2838" max="2838" width="1.109375" customWidth="1"/>
    <col min="2839" max="2839" width="2.88671875" customWidth="1"/>
    <col min="2840" max="2840" width="9.88671875" customWidth="1"/>
    <col min="2841" max="3072" width="6.88671875" customWidth="1"/>
    <col min="3073" max="3073" width="3.109375" customWidth="1"/>
    <col min="3074" max="3074" width="21.109375" customWidth="1"/>
    <col min="3075" max="3075" width="7.44140625" customWidth="1"/>
    <col min="3076" max="3076" width="1.44140625" customWidth="1"/>
    <col min="3077" max="3077" width="11.88671875" customWidth="1"/>
    <col min="3078" max="3078" width="2.33203125" customWidth="1"/>
    <col min="3079" max="3079" width="11.33203125" customWidth="1"/>
    <col min="3080" max="3080" width="2" customWidth="1"/>
    <col min="3081" max="3081" width="12.88671875" customWidth="1"/>
    <col min="3082" max="3082" width="1.44140625" customWidth="1"/>
    <col min="3083" max="3083" width="11.5546875" customWidth="1"/>
    <col min="3084" max="3084" width="2.88671875" customWidth="1"/>
    <col min="3085" max="3085" width="1" customWidth="1"/>
    <col min="3086" max="3086" width="9.109375" customWidth="1"/>
    <col min="3087" max="3087" width="2.33203125" customWidth="1"/>
    <col min="3088" max="3088" width="2.109375" customWidth="1"/>
    <col min="3089" max="3089" width="9.33203125" customWidth="1"/>
    <col min="3090" max="3090" width="4" customWidth="1"/>
    <col min="3091" max="3091" width="2.88671875" customWidth="1"/>
    <col min="3092" max="3092" width="12.5546875" customWidth="1"/>
    <col min="3093" max="3093" width="1" customWidth="1"/>
    <col min="3094" max="3094" width="1.109375" customWidth="1"/>
    <col min="3095" max="3095" width="2.88671875" customWidth="1"/>
    <col min="3096" max="3096" width="9.88671875" customWidth="1"/>
    <col min="3097" max="3328" width="6.88671875" customWidth="1"/>
    <col min="3329" max="3329" width="3.109375" customWidth="1"/>
    <col min="3330" max="3330" width="21.109375" customWidth="1"/>
    <col min="3331" max="3331" width="7.44140625" customWidth="1"/>
    <col min="3332" max="3332" width="1.44140625" customWidth="1"/>
    <col min="3333" max="3333" width="11.88671875" customWidth="1"/>
    <col min="3334" max="3334" width="2.33203125" customWidth="1"/>
    <col min="3335" max="3335" width="11.33203125" customWidth="1"/>
    <col min="3336" max="3336" width="2" customWidth="1"/>
    <col min="3337" max="3337" width="12.88671875" customWidth="1"/>
    <col min="3338" max="3338" width="1.44140625" customWidth="1"/>
    <col min="3339" max="3339" width="11.5546875" customWidth="1"/>
    <col min="3340" max="3340" width="2.88671875" customWidth="1"/>
    <col min="3341" max="3341" width="1" customWidth="1"/>
    <col min="3342" max="3342" width="9.109375" customWidth="1"/>
    <col min="3343" max="3343" width="2.33203125" customWidth="1"/>
    <col min="3344" max="3344" width="2.109375" customWidth="1"/>
    <col min="3345" max="3345" width="9.33203125" customWidth="1"/>
    <col min="3346" max="3346" width="4" customWidth="1"/>
    <col min="3347" max="3347" width="2.88671875" customWidth="1"/>
    <col min="3348" max="3348" width="12.5546875" customWidth="1"/>
    <col min="3349" max="3349" width="1" customWidth="1"/>
    <col min="3350" max="3350" width="1.109375" customWidth="1"/>
    <col min="3351" max="3351" width="2.88671875" customWidth="1"/>
    <col min="3352" max="3352" width="9.88671875" customWidth="1"/>
    <col min="3353" max="3584" width="6.88671875" customWidth="1"/>
    <col min="3585" max="3585" width="3.109375" customWidth="1"/>
    <col min="3586" max="3586" width="21.109375" customWidth="1"/>
    <col min="3587" max="3587" width="7.44140625" customWidth="1"/>
    <col min="3588" max="3588" width="1.44140625" customWidth="1"/>
    <col min="3589" max="3589" width="11.88671875" customWidth="1"/>
    <col min="3590" max="3590" width="2.33203125" customWidth="1"/>
    <col min="3591" max="3591" width="11.33203125" customWidth="1"/>
    <col min="3592" max="3592" width="2" customWidth="1"/>
    <col min="3593" max="3593" width="12.88671875" customWidth="1"/>
    <col min="3594" max="3594" width="1.44140625" customWidth="1"/>
    <col min="3595" max="3595" width="11.5546875" customWidth="1"/>
    <col min="3596" max="3596" width="2.88671875" customWidth="1"/>
    <col min="3597" max="3597" width="1" customWidth="1"/>
    <col min="3598" max="3598" width="9.109375" customWidth="1"/>
    <col min="3599" max="3599" width="2.33203125" customWidth="1"/>
    <col min="3600" max="3600" width="2.109375" customWidth="1"/>
    <col min="3601" max="3601" width="9.33203125" customWidth="1"/>
    <col min="3602" max="3602" width="4" customWidth="1"/>
    <col min="3603" max="3603" width="2.88671875" customWidth="1"/>
    <col min="3604" max="3604" width="12.5546875" customWidth="1"/>
    <col min="3605" max="3605" width="1" customWidth="1"/>
    <col min="3606" max="3606" width="1.109375" customWidth="1"/>
    <col min="3607" max="3607" width="2.88671875" customWidth="1"/>
    <col min="3608" max="3608" width="9.88671875" customWidth="1"/>
    <col min="3609" max="3840" width="6.88671875" customWidth="1"/>
    <col min="3841" max="3841" width="3.109375" customWidth="1"/>
    <col min="3842" max="3842" width="21.109375" customWidth="1"/>
    <col min="3843" max="3843" width="7.44140625" customWidth="1"/>
    <col min="3844" max="3844" width="1.44140625" customWidth="1"/>
    <col min="3845" max="3845" width="11.88671875" customWidth="1"/>
    <col min="3846" max="3846" width="2.33203125" customWidth="1"/>
    <col min="3847" max="3847" width="11.33203125" customWidth="1"/>
    <col min="3848" max="3848" width="2" customWidth="1"/>
    <col min="3849" max="3849" width="12.88671875" customWidth="1"/>
    <col min="3850" max="3850" width="1.44140625" customWidth="1"/>
    <col min="3851" max="3851" width="11.5546875" customWidth="1"/>
    <col min="3852" max="3852" width="2.88671875" customWidth="1"/>
    <col min="3853" max="3853" width="1" customWidth="1"/>
    <col min="3854" max="3854" width="9.109375" customWidth="1"/>
    <col min="3855" max="3855" width="2.33203125" customWidth="1"/>
    <col min="3856" max="3856" width="2.109375" customWidth="1"/>
    <col min="3857" max="3857" width="9.33203125" customWidth="1"/>
    <col min="3858" max="3858" width="4" customWidth="1"/>
    <col min="3859" max="3859" width="2.88671875" customWidth="1"/>
    <col min="3860" max="3860" width="12.5546875" customWidth="1"/>
    <col min="3861" max="3861" width="1" customWidth="1"/>
    <col min="3862" max="3862" width="1.109375" customWidth="1"/>
    <col min="3863" max="3863" width="2.88671875" customWidth="1"/>
    <col min="3864" max="3864" width="9.88671875" customWidth="1"/>
    <col min="3865" max="4096" width="6.88671875" customWidth="1"/>
    <col min="4097" max="4097" width="3.109375" customWidth="1"/>
    <col min="4098" max="4098" width="21.109375" customWidth="1"/>
    <col min="4099" max="4099" width="7.44140625" customWidth="1"/>
    <col min="4100" max="4100" width="1.44140625" customWidth="1"/>
    <col min="4101" max="4101" width="11.88671875" customWidth="1"/>
    <col min="4102" max="4102" width="2.33203125" customWidth="1"/>
    <col min="4103" max="4103" width="11.33203125" customWidth="1"/>
    <col min="4104" max="4104" width="2" customWidth="1"/>
    <col min="4105" max="4105" width="12.88671875" customWidth="1"/>
    <col min="4106" max="4106" width="1.44140625" customWidth="1"/>
    <col min="4107" max="4107" width="11.5546875" customWidth="1"/>
    <col min="4108" max="4108" width="2.88671875" customWidth="1"/>
    <col min="4109" max="4109" width="1" customWidth="1"/>
    <col min="4110" max="4110" width="9.109375" customWidth="1"/>
    <col min="4111" max="4111" width="2.33203125" customWidth="1"/>
    <col min="4112" max="4112" width="2.109375" customWidth="1"/>
    <col min="4113" max="4113" width="9.33203125" customWidth="1"/>
    <col min="4114" max="4114" width="4" customWidth="1"/>
    <col min="4115" max="4115" width="2.88671875" customWidth="1"/>
    <col min="4116" max="4116" width="12.5546875" customWidth="1"/>
    <col min="4117" max="4117" width="1" customWidth="1"/>
    <col min="4118" max="4118" width="1.109375" customWidth="1"/>
    <col min="4119" max="4119" width="2.88671875" customWidth="1"/>
    <col min="4120" max="4120" width="9.88671875" customWidth="1"/>
    <col min="4121" max="4352" width="6.88671875" customWidth="1"/>
    <col min="4353" max="4353" width="3.109375" customWidth="1"/>
    <col min="4354" max="4354" width="21.109375" customWidth="1"/>
    <col min="4355" max="4355" width="7.44140625" customWidth="1"/>
    <col min="4356" max="4356" width="1.44140625" customWidth="1"/>
    <col min="4357" max="4357" width="11.88671875" customWidth="1"/>
    <col min="4358" max="4358" width="2.33203125" customWidth="1"/>
    <col min="4359" max="4359" width="11.33203125" customWidth="1"/>
    <col min="4360" max="4360" width="2" customWidth="1"/>
    <col min="4361" max="4361" width="12.88671875" customWidth="1"/>
    <col min="4362" max="4362" width="1.44140625" customWidth="1"/>
    <col min="4363" max="4363" width="11.5546875" customWidth="1"/>
    <col min="4364" max="4364" width="2.88671875" customWidth="1"/>
    <col min="4365" max="4365" width="1" customWidth="1"/>
    <col min="4366" max="4366" width="9.109375" customWidth="1"/>
    <col min="4367" max="4367" width="2.33203125" customWidth="1"/>
    <col min="4368" max="4368" width="2.109375" customWidth="1"/>
    <col min="4369" max="4369" width="9.33203125" customWidth="1"/>
    <col min="4370" max="4370" width="4" customWidth="1"/>
    <col min="4371" max="4371" width="2.88671875" customWidth="1"/>
    <col min="4372" max="4372" width="12.5546875" customWidth="1"/>
    <col min="4373" max="4373" width="1" customWidth="1"/>
    <col min="4374" max="4374" width="1.109375" customWidth="1"/>
    <col min="4375" max="4375" width="2.88671875" customWidth="1"/>
    <col min="4376" max="4376" width="9.88671875" customWidth="1"/>
    <col min="4377" max="4608" width="6.88671875" customWidth="1"/>
    <col min="4609" max="4609" width="3.109375" customWidth="1"/>
    <col min="4610" max="4610" width="21.109375" customWidth="1"/>
    <col min="4611" max="4611" width="7.44140625" customWidth="1"/>
    <col min="4612" max="4612" width="1.44140625" customWidth="1"/>
    <col min="4613" max="4613" width="11.88671875" customWidth="1"/>
    <col min="4614" max="4614" width="2.33203125" customWidth="1"/>
    <col min="4615" max="4615" width="11.33203125" customWidth="1"/>
    <col min="4616" max="4616" width="2" customWidth="1"/>
    <col min="4617" max="4617" width="12.88671875" customWidth="1"/>
    <col min="4618" max="4618" width="1.44140625" customWidth="1"/>
    <col min="4619" max="4619" width="11.5546875" customWidth="1"/>
    <col min="4620" max="4620" width="2.88671875" customWidth="1"/>
    <col min="4621" max="4621" width="1" customWidth="1"/>
    <col min="4622" max="4622" width="9.109375" customWidth="1"/>
    <col min="4623" max="4623" width="2.33203125" customWidth="1"/>
    <col min="4624" max="4624" width="2.109375" customWidth="1"/>
    <col min="4625" max="4625" width="9.33203125" customWidth="1"/>
    <col min="4626" max="4626" width="4" customWidth="1"/>
    <col min="4627" max="4627" width="2.88671875" customWidth="1"/>
    <col min="4628" max="4628" width="12.5546875" customWidth="1"/>
    <col min="4629" max="4629" width="1" customWidth="1"/>
    <col min="4630" max="4630" width="1.109375" customWidth="1"/>
    <col min="4631" max="4631" width="2.88671875" customWidth="1"/>
    <col min="4632" max="4632" width="9.88671875" customWidth="1"/>
    <col min="4633" max="4864" width="6.88671875" customWidth="1"/>
    <col min="4865" max="4865" width="3.109375" customWidth="1"/>
    <col min="4866" max="4866" width="21.109375" customWidth="1"/>
    <col min="4867" max="4867" width="7.44140625" customWidth="1"/>
    <col min="4868" max="4868" width="1.44140625" customWidth="1"/>
    <col min="4869" max="4869" width="11.88671875" customWidth="1"/>
    <col min="4870" max="4870" width="2.33203125" customWidth="1"/>
    <col min="4871" max="4871" width="11.33203125" customWidth="1"/>
    <col min="4872" max="4872" width="2" customWidth="1"/>
    <col min="4873" max="4873" width="12.88671875" customWidth="1"/>
    <col min="4874" max="4874" width="1.44140625" customWidth="1"/>
    <col min="4875" max="4875" width="11.5546875" customWidth="1"/>
    <col min="4876" max="4876" width="2.88671875" customWidth="1"/>
    <col min="4877" max="4877" width="1" customWidth="1"/>
    <col min="4878" max="4878" width="9.109375" customWidth="1"/>
    <col min="4879" max="4879" width="2.33203125" customWidth="1"/>
    <col min="4880" max="4880" width="2.109375" customWidth="1"/>
    <col min="4881" max="4881" width="9.33203125" customWidth="1"/>
    <col min="4882" max="4882" width="4" customWidth="1"/>
    <col min="4883" max="4883" width="2.88671875" customWidth="1"/>
    <col min="4884" max="4884" width="12.5546875" customWidth="1"/>
    <col min="4885" max="4885" width="1" customWidth="1"/>
    <col min="4886" max="4886" width="1.109375" customWidth="1"/>
    <col min="4887" max="4887" width="2.88671875" customWidth="1"/>
    <col min="4888" max="4888" width="9.88671875" customWidth="1"/>
    <col min="4889" max="5120" width="6.88671875" customWidth="1"/>
    <col min="5121" max="5121" width="3.109375" customWidth="1"/>
    <col min="5122" max="5122" width="21.109375" customWidth="1"/>
    <col min="5123" max="5123" width="7.44140625" customWidth="1"/>
    <col min="5124" max="5124" width="1.44140625" customWidth="1"/>
    <col min="5125" max="5125" width="11.88671875" customWidth="1"/>
    <col min="5126" max="5126" width="2.33203125" customWidth="1"/>
    <col min="5127" max="5127" width="11.33203125" customWidth="1"/>
    <col min="5128" max="5128" width="2" customWidth="1"/>
    <col min="5129" max="5129" width="12.88671875" customWidth="1"/>
    <col min="5130" max="5130" width="1.44140625" customWidth="1"/>
    <col min="5131" max="5131" width="11.5546875" customWidth="1"/>
    <col min="5132" max="5132" width="2.88671875" customWidth="1"/>
    <col min="5133" max="5133" width="1" customWidth="1"/>
    <col min="5134" max="5134" width="9.109375" customWidth="1"/>
    <col min="5135" max="5135" width="2.33203125" customWidth="1"/>
    <col min="5136" max="5136" width="2.109375" customWidth="1"/>
    <col min="5137" max="5137" width="9.33203125" customWidth="1"/>
    <col min="5138" max="5138" width="4" customWidth="1"/>
    <col min="5139" max="5139" width="2.88671875" customWidth="1"/>
    <col min="5140" max="5140" width="12.5546875" customWidth="1"/>
    <col min="5141" max="5141" width="1" customWidth="1"/>
    <col min="5142" max="5142" width="1.109375" customWidth="1"/>
    <col min="5143" max="5143" width="2.88671875" customWidth="1"/>
    <col min="5144" max="5144" width="9.88671875" customWidth="1"/>
    <col min="5145" max="5376" width="6.88671875" customWidth="1"/>
    <col min="5377" max="5377" width="3.109375" customWidth="1"/>
    <col min="5378" max="5378" width="21.109375" customWidth="1"/>
    <col min="5379" max="5379" width="7.44140625" customWidth="1"/>
    <col min="5380" max="5380" width="1.44140625" customWidth="1"/>
    <col min="5381" max="5381" width="11.88671875" customWidth="1"/>
    <col min="5382" max="5382" width="2.33203125" customWidth="1"/>
    <col min="5383" max="5383" width="11.33203125" customWidth="1"/>
    <col min="5384" max="5384" width="2" customWidth="1"/>
    <col min="5385" max="5385" width="12.88671875" customWidth="1"/>
    <col min="5386" max="5386" width="1.44140625" customWidth="1"/>
    <col min="5387" max="5387" width="11.5546875" customWidth="1"/>
    <col min="5388" max="5388" width="2.88671875" customWidth="1"/>
    <col min="5389" max="5389" width="1" customWidth="1"/>
    <col min="5390" max="5390" width="9.109375" customWidth="1"/>
    <col min="5391" max="5391" width="2.33203125" customWidth="1"/>
    <col min="5392" max="5392" width="2.109375" customWidth="1"/>
    <col min="5393" max="5393" width="9.33203125" customWidth="1"/>
    <col min="5394" max="5394" width="4" customWidth="1"/>
    <col min="5395" max="5395" width="2.88671875" customWidth="1"/>
    <col min="5396" max="5396" width="12.5546875" customWidth="1"/>
    <col min="5397" max="5397" width="1" customWidth="1"/>
    <col min="5398" max="5398" width="1.109375" customWidth="1"/>
    <col min="5399" max="5399" width="2.88671875" customWidth="1"/>
    <col min="5400" max="5400" width="9.88671875" customWidth="1"/>
    <col min="5401" max="5632" width="6.88671875" customWidth="1"/>
    <col min="5633" max="5633" width="3.109375" customWidth="1"/>
    <col min="5634" max="5634" width="21.109375" customWidth="1"/>
    <col min="5635" max="5635" width="7.44140625" customWidth="1"/>
    <col min="5636" max="5636" width="1.44140625" customWidth="1"/>
    <col min="5637" max="5637" width="11.88671875" customWidth="1"/>
    <col min="5638" max="5638" width="2.33203125" customWidth="1"/>
    <col min="5639" max="5639" width="11.33203125" customWidth="1"/>
    <col min="5640" max="5640" width="2" customWidth="1"/>
    <col min="5641" max="5641" width="12.88671875" customWidth="1"/>
    <col min="5642" max="5642" width="1.44140625" customWidth="1"/>
    <col min="5643" max="5643" width="11.5546875" customWidth="1"/>
    <col min="5644" max="5644" width="2.88671875" customWidth="1"/>
    <col min="5645" max="5645" width="1" customWidth="1"/>
    <col min="5646" max="5646" width="9.109375" customWidth="1"/>
    <col min="5647" max="5647" width="2.33203125" customWidth="1"/>
    <col min="5648" max="5648" width="2.109375" customWidth="1"/>
    <col min="5649" max="5649" width="9.33203125" customWidth="1"/>
    <col min="5650" max="5650" width="4" customWidth="1"/>
    <col min="5651" max="5651" width="2.88671875" customWidth="1"/>
    <col min="5652" max="5652" width="12.5546875" customWidth="1"/>
    <col min="5653" max="5653" width="1" customWidth="1"/>
    <col min="5654" max="5654" width="1.109375" customWidth="1"/>
    <col min="5655" max="5655" width="2.88671875" customWidth="1"/>
    <col min="5656" max="5656" width="9.88671875" customWidth="1"/>
    <col min="5657" max="5888" width="6.88671875" customWidth="1"/>
    <col min="5889" max="5889" width="3.109375" customWidth="1"/>
    <col min="5890" max="5890" width="21.109375" customWidth="1"/>
    <col min="5891" max="5891" width="7.44140625" customWidth="1"/>
    <col min="5892" max="5892" width="1.44140625" customWidth="1"/>
    <col min="5893" max="5893" width="11.88671875" customWidth="1"/>
    <col min="5894" max="5894" width="2.33203125" customWidth="1"/>
    <col min="5895" max="5895" width="11.33203125" customWidth="1"/>
    <col min="5896" max="5896" width="2" customWidth="1"/>
    <col min="5897" max="5897" width="12.88671875" customWidth="1"/>
    <col min="5898" max="5898" width="1.44140625" customWidth="1"/>
    <col min="5899" max="5899" width="11.5546875" customWidth="1"/>
    <col min="5900" max="5900" width="2.88671875" customWidth="1"/>
    <col min="5901" max="5901" width="1" customWidth="1"/>
    <col min="5902" max="5902" width="9.109375" customWidth="1"/>
    <col min="5903" max="5903" width="2.33203125" customWidth="1"/>
    <col min="5904" max="5904" width="2.109375" customWidth="1"/>
    <col min="5905" max="5905" width="9.33203125" customWidth="1"/>
    <col min="5906" max="5906" width="4" customWidth="1"/>
    <col min="5907" max="5907" width="2.88671875" customWidth="1"/>
    <col min="5908" max="5908" width="12.5546875" customWidth="1"/>
    <col min="5909" max="5909" width="1" customWidth="1"/>
    <col min="5910" max="5910" width="1.109375" customWidth="1"/>
    <col min="5911" max="5911" width="2.88671875" customWidth="1"/>
    <col min="5912" max="5912" width="9.88671875" customWidth="1"/>
    <col min="5913" max="6144" width="6.88671875" customWidth="1"/>
    <col min="6145" max="6145" width="3.109375" customWidth="1"/>
    <col min="6146" max="6146" width="21.109375" customWidth="1"/>
    <col min="6147" max="6147" width="7.44140625" customWidth="1"/>
    <col min="6148" max="6148" width="1.44140625" customWidth="1"/>
    <col min="6149" max="6149" width="11.88671875" customWidth="1"/>
    <col min="6150" max="6150" width="2.33203125" customWidth="1"/>
    <col min="6151" max="6151" width="11.33203125" customWidth="1"/>
    <col min="6152" max="6152" width="2" customWidth="1"/>
    <col min="6153" max="6153" width="12.88671875" customWidth="1"/>
    <col min="6154" max="6154" width="1.44140625" customWidth="1"/>
    <col min="6155" max="6155" width="11.5546875" customWidth="1"/>
    <col min="6156" max="6156" width="2.88671875" customWidth="1"/>
    <col min="6157" max="6157" width="1" customWidth="1"/>
    <col min="6158" max="6158" width="9.109375" customWidth="1"/>
    <col min="6159" max="6159" width="2.33203125" customWidth="1"/>
    <col min="6160" max="6160" width="2.109375" customWidth="1"/>
    <col min="6161" max="6161" width="9.33203125" customWidth="1"/>
    <col min="6162" max="6162" width="4" customWidth="1"/>
    <col min="6163" max="6163" width="2.88671875" customWidth="1"/>
    <col min="6164" max="6164" width="12.5546875" customWidth="1"/>
    <col min="6165" max="6165" width="1" customWidth="1"/>
    <col min="6166" max="6166" width="1.109375" customWidth="1"/>
    <col min="6167" max="6167" width="2.88671875" customWidth="1"/>
    <col min="6168" max="6168" width="9.88671875" customWidth="1"/>
    <col min="6169" max="6400" width="6.88671875" customWidth="1"/>
    <col min="6401" max="6401" width="3.109375" customWidth="1"/>
    <col min="6402" max="6402" width="21.109375" customWidth="1"/>
    <col min="6403" max="6403" width="7.44140625" customWidth="1"/>
    <col min="6404" max="6404" width="1.44140625" customWidth="1"/>
    <col min="6405" max="6405" width="11.88671875" customWidth="1"/>
    <col min="6406" max="6406" width="2.33203125" customWidth="1"/>
    <col min="6407" max="6407" width="11.33203125" customWidth="1"/>
    <col min="6408" max="6408" width="2" customWidth="1"/>
    <col min="6409" max="6409" width="12.88671875" customWidth="1"/>
    <col min="6410" max="6410" width="1.44140625" customWidth="1"/>
    <col min="6411" max="6411" width="11.5546875" customWidth="1"/>
    <col min="6412" max="6412" width="2.88671875" customWidth="1"/>
    <col min="6413" max="6413" width="1" customWidth="1"/>
    <col min="6414" max="6414" width="9.109375" customWidth="1"/>
    <col min="6415" max="6415" width="2.33203125" customWidth="1"/>
    <col min="6416" max="6416" width="2.109375" customWidth="1"/>
    <col min="6417" max="6417" width="9.33203125" customWidth="1"/>
    <col min="6418" max="6418" width="4" customWidth="1"/>
    <col min="6419" max="6419" width="2.88671875" customWidth="1"/>
    <col min="6420" max="6420" width="12.5546875" customWidth="1"/>
    <col min="6421" max="6421" width="1" customWidth="1"/>
    <col min="6422" max="6422" width="1.109375" customWidth="1"/>
    <col min="6423" max="6423" width="2.88671875" customWidth="1"/>
    <col min="6424" max="6424" width="9.88671875" customWidth="1"/>
    <col min="6425" max="6656" width="6.88671875" customWidth="1"/>
    <col min="6657" max="6657" width="3.109375" customWidth="1"/>
    <col min="6658" max="6658" width="21.109375" customWidth="1"/>
    <col min="6659" max="6659" width="7.44140625" customWidth="1"/>
    <col min="6660" max="6660" width="1.44140625" customWidth="1"/>
    <col min="6661" max="6661" width="11.88671875" customWidth="1"/>
    <col min="6662" max="6662" width="2.33203125" customWidth="1"/>
    <col min="6663" max="6663" width="11.33203125" customWidth="1"/>
    <col min="6664" max="6664" width="2" customWidth="1"/>
    <col min="6665" max="6665" width="12.88671875" customWidth="1"/>
    <col min="6666" max="6666" width="1.44140625" customWidth="1"/>
    <col min="6667" max="6667" width="11.5546875" customWidth="1"/>
    <col min="6668" max="6668" width="2.88671875" customWidth="1"/>
    <col min="6669" max="6669" width="1" customWidth="1"/>
    <col min="6670" max="6670" width="9.109375" customWidth="1"/>
    <col min="6671" max="6671" width="2.33203125" customWidth="1"/>
    <col min="6672" max="6672" width="2.109375" customWidth="1"/>
    <col min="6673" max="6673" width="9.33203125" customWidth="1"/>
    <col min="6674" max="6674" width="4" customWidth="1"/>
    <col min="6675" max="6675" width="2.88671875" customWidth="1"/>
    <col min="6676" max="6676" width="12.5546875" customWidth="1"/>
    <col min="6677" max="6677" width="1" customWidth="1"/>
    <col min="6678" max="6678" width="1.109375" customWidth="1"/>
    <col min="6679" max="6679" width="2.88671875" customWidth="1"/>
    <col min="6680" max="6680" width="9.88671875" customWidth="1"/>
    <col min="6681" max="6912" width="6.88671875" customWidth="1"/>
    <col min="6913" max="6913" width="3.109375" customWidth="1"/>
    <col min="6914" max="6914" width="21.109375" customWidth="1"/>
    <col min="6915" max="6915" width="7.44140625" customWidth="1"/>
    <col min="6916" max="6916" width="1.44140625" customWidth="1"/>
    <col min="6917" max="6917" width="11.88671875" customWidth="1"/>
    <col min="6918" max="6918" width="2.33203125" customWidth="1"/>
    <col min="6919" max="6919" width="11.33203125" customWidth="1"/>
    <col min="6920" max="6920" width="2" customWidth="1"/>
    <col min="6921" max="6921" width="12.88671875" customWidth="1"/>
    <col min="6922" max="6922" width="1.44140625" customWidth="1"/>
    <col min="6923" max="6923" width="11.5546875" customWidth="1"/>
    <col min="6924" max="6924" width="2.88671875" customWidth="1"/>
    <col min="6925" max="6925" width="1" customWidth="1"/>
    <col min="6926" max="6926" width="9.109375" customWidth="1"/>
    <col min="6927" max="6927" width="2.33203125" customWidth="1"/>
    <col min="6928" max="6928" width="2.109375" customWidth="1"/>
    <col min="6929" max="6929" width="9.33203125" customWidth="1"/>
    <col min="6930" max="6930" width="4" customWidth="1"/>
    <col min="6931" max="6931" width="2.88671875" customWidth="1"/>
    <col min="6932" max="6932" width="12.5546875" customWidth="1"/>
    <col min="6933" max="6933" width="1" customWidth="1"/>
    <col min="6934" max="6934" width="1.109375" customWidth="1"/>
    <col min="6935" max="6935" width="2.88671875" customWidth="1"/>
    <col min="6936" max="6936" width="9.88671875" customWidth="1"/>
    <col min="6937" max="7168" width="6.88671875" customWidth="1"/>
    <col min="7169" max="7169" width="3.109375" customWidth="1"/>
    <col min="7170" max="7170" width="21.109375" customWidth="1"/>
    <col min="7171" max="7171" width="7.44140625" customWidth="1"/>
    <col min="7172" max="7172" width="1.44140625" customWidth="1"/>
    <col min="7173" max="7173" width="11.88671875" customWidth="1"/>
    <col min="7174" max="7174" width="2.33203125" customWidth="1"/>
    <col min="7175" max="7175" width="11.33203125" customWidth="1"/>
    <col min="7176" max="7176" width="2" customWidth="1"/>
    <col min="7177" max="7177" width="12.88671875" customWidth="1"/>
    <col min="7178" max="7178" width="1.44140625" customWidth="1"/>
    <col min="7179" max="7179" width="11.5546875" customWidth="1"/>
    <col min="7180" max="7180" width="2.88671875" customWidth="1"/>
    <col min="7181" max="7181" width="1" customWidth="1"/>
    <col min="7182" max="7182" width="9.109375" customWidth="1"/>
    <col min="7183" max="7183" width="2.33203125" customWidth="1"/>
    <col min="7184" max="7184" width="2.109375" customWidth="1"/>
    <col min="7185" max="7185" width="9.33203125" customWidth="1"/>
    <col min="7186" max="7186" width="4" customWidth="1"/>
    <col min="7187" max="7187" width="2.88671875" customWidth="1"/>
    <col min="7188" max="7188" width="12.5546875" customWidth="1"/>
    <col min="7189" max="7189" width="1" customWidth="1"/>
    <col min="7190" max="7190" width="1.109375" customWidth="1"/>
    <col min="7191" max="7191" width="2.88671875" customWidth="1"/>
    <col min="7192" max="7192" width="9.88671875" customWidth="1"/>
    <col min="7193" max="7424" width="6.88671875" customWidth="1"/>
    <col min="7425" max="7425" width="3.109375" customWidth="1"/>
    <col min="7426" max="7426" width="21.109375" customWidth="1"/>
    <col min="7427" max="7427" width="7.44140625" customWidth="1"/>
    <col min="7428" max="7428" width="1.44140625" customWidth="1"/>
    <col min="7429" max="7429" width="11.88671875" customWidth="1"/>
    <col min="7430" max="7430" width="2.33203125" customWidth="1"/>
    <col min="7431" max="7431" width="11.33203125" customWidth="1"/>
    <col min="7432" max="7432" width="2" customWidth="1"/>
    <col min="7433" max="7433" width="12.88671875" customWidth="1"/>
    <col min="7434" max="7434" width="1.44140625" customWidth="1"/>
    <col min="7435" max="7435" width="11.5546875" customWidth="1"/>
    <col min="7436" max="7436" width="2.88671875" customWidth="1"/>
    <col min="7437" max="7437" width="1" customWidth="1"/>
    <col min="7438" max="7438" width="9.109375" customWidth="1"/>
    <col min="7439" max="7439" width="2.33203125" customWidth="1"/>
    <col min="7440" max="7440" width="2.109375" customWidth="1"/>
    <col min="7441" max="7441" width="9.33203125" customWidth="1"/>
    <col min="7442" max="7442" width="4" customWidth="1"/>
    <col min="7443" max="7443" width="2.88671875" customWidth="1"/>
    <col min="7444" max="7444" width="12.5546875" customWidth="1"/>
    <col min="7445" max="7445" width="1" customWidth="1"/>
    <col min="7446" max="7446" width="1.109375" customWidth="1"/>
    <col min="7447" max="7447" width="2.88671875" customWidth="1"/>
    <col min="7448" max="7448" width="9.88671875" customWidth="1"/>
    <col min="7449" max="7680" width="6.88671875" customWidth="1"/>
    <col min="7681" max="7681" width="3.109375" customWidth="1"/>
    <col min="7682" max="7682" width="21.109375" customWidth="1"/>
    <col min="7683" max="7683" width="7.44140625" customWidth="1"/>
    <col min="7684" max="7684" width="1.44140625" customWidth="1"/>
    <col min="7685" max="7685" width="11.88671875" customWidth="1"/>
    <col min="7686" max="7686" width="2.33203125" customWidth="1"/>
    <col min="7687" max="7687" width="11.33203125" customWidth="1"/>
    <col min="7688" max="7688" width="2" customWidth="1"/>
    <col min="7689" max="7689" width="12.88671875" customWidth="1"/>
    <col min="7690" max="7690" width="1.44140625" customWidth="1"/>
    <col min="7691" max="7691" width="11.5546875" customWidth="1"/>
    <col min="7692" max="7692" width="2.88671875" customWidth="1"/>
    <col min="7693" max="7693" width="1" customWidth="1"/>
    <col min="7694" max="7694" width="9.109375" customWidth="1"/>
    <col min="7695" max="7695" width="2.33203125" customWidth="1"/>
    <col min="7696" max="7696" width="2.109375" customWidth="1"/>
    <col min="7697" max="7697" width="9.33203125" customWidth="1"/>
    <col min="7698" max="7698" width="4" customWidth="1"/>
    <col min="7699" max="7699" width="2.88671875" customWidth="1"/>
    <col min="7700" max="7700" width="12.5546875" customWidth="1"/>
    <col min="7701" max="7701" width="1" customWidth="1"/>
    <col min="7702" max="7702" width="1.109375" customWidth="1"/>
    <col min="7703" max="7703" width="2.88671875" customWidth="1"/>
    <col min="7704" max="7704" width="9.88671875" customWidth="1"/>
    <col min="7705" max="7936" width="6.88671875" customWidth="1"/>
    <col min="7937" max="7937" width="3.109375" customWidth="1"/>
    <col min="7938" max="7938" width="21.109375" customWidth="1"/>
    <col min="7939" max="7939" width="7.44140625" customWidth="1"/>
    <col min="7940" max="7940" width="1.44140625" customWidth="1"/>
    <col min="7941" max="7941" width="11.88671875" customWidth="1"/>
    <col min="7942" max="7942" width="2.33203125" customWidth="1"/>
    <col min="7943" max="7943" width="11.33203125" customWidth="1"/>
    <col min="7944" max="7944" width="2" customWidth="1"/>
    <col min="7945" max="7945" width="12.88671875" customWidth="1"/>
    <col min="7946" max="7946" width="1.44140625" customWidth="1"/>
    <col min="7947" max="7947" width="11.5546875" customWidth="1"/>
    <col min="7948" max="7948" width="2.88671875" customWidth="1"/>
    <col min="7949" max="7949" width="1" customWidth="1"/>
    <col min="7950" max="7950" width="9.109375" customWidth="1"/>
    <col min="7951" max="7951" width="2.33203125" customWidth="1"/>
    <col min="7952" max="7952" width="2.109375" customWidth="1"/>
    <col min="7953" max="7953" width="9.33203125" customWidth="1"/>
    <col min="7954" max="7954" width="4" customWidth="1"/>
    <col min="7955" max="7955" width="2.88671875" customWidth="1"/>
    <col min="7956" max="7956" width="12.5546875" customWidth="1"/>
    <col min="7957" max="7957" width="1" customWidth="1"/>
    <col min="7958" max="7958" width="1.109375" customWidth="1"/>
    <col min="7959" max="7959" width="2.88671875" customWidth="1"/>
    <col min="7960" max="7960" width="9.88671875" customWidth="1"/>
    <col min="7961" max="8192" width="6.88671875" customWidth="1"/>
    <col min="8193" max="8193" width="3.109375" customWidth="1"/>
    <col min="8194" max="8194" width="21.109375" customWidth="1"/>
    <col min="8195" max="8195" width="7.44140625" customWidth="1"/>
    <col min="8196" max="8196" width="1.44140625" customWidth="1"/>
    <col min="8197" max="8197" width="11.88671875" customWidth="1"/>
    <col min="8198" max="8198" width="2.33203125" customWidth="1"/>
    <col min="8199" max="8199" width="11.33203125" customWidth="1"/>
    <col min="8200" max="8200" width="2" customWidth="1"/>
    <col min="8201" max="8201" width="12.88671875" customWidth="1"/>
    <col min="8202" max="8202" width="1.44140625" customWidth="1"/>
    <col min="8203" max="8203" width="11.5546875" customWidth="1"/>
    <col min="8204" max="8204" width="2.88671875" customWidth="1"/>
    <col min="8205" max="8205" width="1" customWidth="1"/>
    <col min="8206" max="8206" width="9.109375" customWidth="1"/>
    <col min="8207" max="8207" width="2.33203125" customWidth="1"/>
    <col min="8208" max="8208" width="2.109375" customWidth="1"/>
    <col min="8209" max="8209" width="9.33203125" customWidth="1"/>
    <col min="8210" max="8210" width="4" customWidth="1"/>
    <col min="8211" max="8211" width="2.88671875" customWidth="1"/>
    <col min="8212" max="8212" width="12.5546875" customWidth="1"/>
    <col min="8213" max="8213" width="1" customWidth="1"/>
    <col min="8214" max="8214" width="1.109375" customWidth="1"/>
    <col min="8215" max="8215" width="2.88671875" customWidth="1"/>
    <col min="8216" max="8216" width="9.88671875" customWidth="1"/>
    <col min="8217" max="8448" width="6.88671875" customWidth="1"/>
    <col min="8449" max="8449" width="3.109375" customWidth="1"/>
    <col min="8450" max="8450" width="21.109375" customWidth="1"/>
    <col min="8451" max="8451" width="7.44140625" customWidth="1"/>
    <col min="8452" max="8452" width="1.44140625" customWidth="1"/>
    <col min="8453" max="8453" width="11.88671875" customWidth="1"/>
    <col min="8454" max="8454" width="2.33203125" customWidth="1"/>
    <col min="8455" max="8455" width="11.33203125" customWidth="1"/>
    <col min="8456" max="8456" width="2" customWidth="1"/>
    <col min="8457" max="8457" width="12.88671875" customWidth="1"/>
    <col min="8458" max="8458" width="1.44140625" customWidth="1"/>
    <col min="8459" max="8459" width="11.5546875" customWidth="1"/>
    <col min="8460" max="8460" width="2.88671875" customWidth="1"/>
    <col min="8461" max="8461" width="1" customWidth="1"/>
    <col min="8462" max="8462" width="9.109375" customWidth="1"/>
    <col min="8463" max="8463" width="2.33203125" customWidth="1"/>
    <col min="8464" max="8464" width="2.109375" customWidth="1"/>
    <col min="8465" max="8465" width="9.33203125" customWidth="1"/>
    <col min="8466" max="8466" width="4" customWidth="1"/>
    <col min="8467" max="8467" width="2.88671875" customWidth="1"/>
    <col min="8468" max="8468" width="12.5546875" customWidth="1"/>
    <col min="8469" max="8469" width="1" customWidth="1"/>
    <col min="8470" max="8470" width="1.109375" customWidth="1"/>
    <col min="8471" max="8471" width="2.88671875" customWidth="1"/>
    <col min="8472" max="8472" width="9.88671875" customWidth="1"/>
    <col min="8473" max="8704" width="6.88671875" customWidth="1"/>
    <col min="8705" max="8705" width="3.109375" customWidth="1"/>
    <col min="8706" max="8706" width="21.109375" customWidth="1"/>
    <col min="8707" max="8707" width="7.44140625" customWidth="1"/>
    <col min="8708" max="8708" width="1.44140625" customWidth="1"/>
    <col min="8709" max="8709" width="11.88671875" customWidth="1"/>
    <col min="8710" max="8710" width="2.33203125" customWidth="1"/>
    <col min="8711" max="8711" width="11.33203125" customWidth="1"/>
    <col min="8712" max="8712" width="2" customWidth="1"/>
    <col min="8713" max="8713" width="12.88671875" customWidth="1"/>
    <col min="8714" max="8714" width="1.44140625" customWidth="1"/>
    <col min="8715" max="8715" width="11.5546875" customWidth="1"/>
    <col min="8716" max="8716" width="2.88671875" customWidth="1"/>
    <col min="8717" max="8717" width="1" customWidth="1"/>
    <col min="8718" max="8718" width="9.109375" customWidth="1"/>
    <col min="8719" max="8719" width="2.33203125" customWidth="1"/>
    <col min="8720" max="8720" width="2.109375" customWidth="1"/>
    <col min="8721" max="8721" width="9.33203125" customWidth="1"/>
    <col min="8722" max="8722" width="4" customWidth="1"/>
    <col min="8723" max="8723" width="2.88671875" customWidth="1"/>
    <col min="8724" max="8724" width="12.5546875" customWidth="1"/>
    <col min="8725" max="8725" width="1" customWidth="1"/>
    <col min="8726" max="8726" width="1.109375" customWidth="1"/>
    <col min="8727" max="8727" width="2.88671875" customWidth="1"/>
    <col min="8728" max="8728" width="9.88671875" customWidth="1"/>
    <col min="8729" max="8960" width="6.88671875" customWidth="1"/>
    <col min="8961" max="8961" width="3.109375" customWidth="1"/>
    <col min="8962" max="8962" width="21.109375" customWidth="1"/>
    <col min="8963" max="8963" width="7.44140625" customWidth="1"/>
    <col min="8964" max="8964" width="1.44140625" customWidth="1"/>
    <col min="8965" max="8965" width="11.88671875" customWidth="1"/>
    <col min="8966" max="8966" width="2.33203125" customWidth="1"/>
    <col min="8967" max="8967" width="11.33203125" customWidth="1"/>
    <col min="8968" max="8968" width="2" customWidth="1"/>
    <col min="8969" max="8969" width="12.88671875" customWidth="1"/>
    <col min="8970" max="8970" width="1.44140625" customWidth="1"/>
    <col min="8971" max="8971" width="11.5546875" customWidth="1"/>
    <col min="8972" max="8972" width="2.88671875" customWidth="1"/>
    <col min="8973" max="8973" width="1" customWidth="1"/>
    <col min="8974" max="8974" width="9.109375" customWidth="1"/>
    <col min="8975" max="8975" width="2.33203125" customWidth="1"/>
    <col min="8976" max="8976" width="2.109375" customWidth="1"/>
    <col min="8977" max="8977" width="9.33203125" customWidth="1"/>
    <col min="8978" max="8978" width="4" customWidth="1"/>
    <col min="8979" max="8979" width="2.88671875" customWidth="1"/>
    <col min="8980" max="8980" width="12.5546875" customWidth="1"/>
    <col min="8981" max="8981" width="1" customWidth="1"/>
    <col min="8982" max="8982" width="1.109375" customWidth="1"/>
    <col min="8983" max="8983" width="2.88671875" customWidth="1"/>
    <col min="8984" max="8984" width="9.88671875" customWidth="1"/>
    <col min="8985" max="9216" width="6.88671875" customWidth="1"/>
    <col min="9217" max="9217" width="3.109375" customWidth="1"/>
    <col min="9218" max="9218" width="21.109375" customWidth="1"/>
    <col min="9219" max="9219" width="7.44140625" customWidth="1"/>
    <col min="9220" max="9220" width="1.44140625" customWidth="1"/>
    <col min="9221" max="9221" width="11.88671875" customWidth="1"/>
    <col min="9222" max="9222" width="2.33203125" customWidth="1"/>
    <col min="9223" max="9223" width="11.33203125" customWidth="1"/>
    <col min="9224" max="9224" width="2" customWidth="1"/>
    <col min="9225" max="9225" width="12.88671875" customWidth="1"/>
    <col min="9226" max="9226" width="1.44140625" customWidth="1"/>
    <col min="9227" max="9227" width="11.5546875" customWidth="1"/>
    <col min="9228" max="9228" width="2.88671875" customWidth="1"/>
    <col min="9229" max="9229" width="1" customWidth="1"/>
    <col min="9230" max="9230" width="9.109375" customWidth="1"/>
    <col min="9231" max="9231" width="2.33203125" customWidth="1"/>
    <col min="9232" max="9232" width="2.109375" customWidth="1"/>
    <col min="9233" max="9233" width="9.33203125" customWidth="1"/>
    <col min="9234" max="9234" width="4" customWidth="1"/>
    <col min="9235" max="9235" width="2.88671875" customWidth="1"/>
    <col min="9236" max="9236" width="12.5546875" customWidth="1"/>
    <col min="9237" max="9237" width="1" customWidth="1"/>
    <col min="9238" max="9238" width="1.109375" customWidth="1"/>
    <col min="9239" max="9239" width="2.88671875" customWidth="1"/>
    <col min="9240" max="9240" width="9.88671875" customWidth="1"/>
    <col min="9241" max="9472" width="6.88671875" customWidth="1"/>
    <col min="9473" max="9473" width="3.109375" customWidth="1"/>
    <col min="9474" max="9474" width="21.109375" customWidth="1"/>
    <col min="9475" max="9475" width="7.44140625" customWidth="1"/>
    <col min="9476" max="9476" width="1.44140625" customWidth="1"/>
    <col min="9477" max="9477" width="11.88671875" customWidth="1"/>
    <col min="9478" max="9478" width="2.33203125" customWidth="1"/>
    <col min="9479" max="9479" width="11.33203125" customWidth="1"/>
    <col min="9480" max="9480" width="2" customWidth="1"/>
    <col min="9481" max="9481" width="12.88671875" customWidth="1"/>
    <col min="9482" max="9482" width="1.44140625" customWidth="1"/>
    <col min="9483" max="9483" width="11.5546875" customWidth="1"/>
    <col min="9484" max="9484" width="2.88671875" customWidth="1"/>
    <col min="9485" max="9485" width="1" customWidth="1"/>
    <col min="9486" max="9486" width="9.109375" customWidth="1"/>
    <col min="9487" max="9487" width="2.33203125" customWidth="1"/>
    <col min="9488" max="9488" width="2.109375" customWidth="1"/>
    <col min="9489" max="9489" width="9.33203125" customWidth="1"/>
    <col min="9490" max="9490" width="4" customWidth="1"/>
    <col min="9491" max="9491" width="2.88671875" customWidth="1"/>
    <col min="9492" max="9492" width="12.5546875" customWidth="1"/>
    <col min="9493" max="9493" width="1" customWidth="1"/>
    <col min="9494" max="9494" width="1.109375" customWidth="1"/>
    <col min="9495" max="9495" width="2.88671875" customWidth="1"/>
    <col min="9496" max="9496" width="9.88671875" customWidth="1"/>
    <col min="9497" max="9728" width="6.88671875" customWidth="1"/>
    <col min="9729" max="9729" width="3.109375" customWidth="1"/>
    <col min="9730" max="9730" width="21.109375" customWidth="1"/>
    <col min="9731" max="9731" width="7.44140625" customWidth="1"/>
    <col min="9732" max="9732" width="1.44140625" customWidth="1"/>
    <col min="9733" max="9733" width="11.88671875" customWidth="1"/>
    <col min="9734" max="9734" width="2.33203125" customWidth="1"/>
    <col min="9735" max="9735" width="11.33203125" customWidth="1"/>
    <col min="9736" max="9736" width="2" customWidth="1"/>
    <col min="9737" max="9737" width="12.88671875" customWidth="1"/>
    <col min="9738" max="9738" width="1.44140625" customWidth="1"/>
    <col min="9739" max="9739" width="11.5546875" customWidth="1"/>
    <col min="9740" max="9740" width="2.88671875" customWidth="1"/>
    <col min="9741" max="9741" width="1" customWidth="1"/>
    <col min="9742" max="9742" width="9.109375" customWidth="1"/>
    <col min="9743" max="9743" width="2.33203125" customWidth="1"/>
    <col min="9744" max="9744" width="2.109375" customWidth="1"/>
    <col min="9745" max="9745" width="9.33203125" customWidth="1"/>
    <col min="9746" max="9746" width="4" customWidth="1"/>
    <col min="9747" max="9747" width="2.88671875" customWidth="1"/>
    <col min="9748" max="9748" width="12.5546875" customWidth="1"/>
    <col min="9749" max="9749" width="1" customWidth="1"/>
    <col min="9750" max="9750" width="1.109375" customWidth="1"/>
    <col min="9751" max="9751" width="2.88671875" customWidth="1"/>
    <col min="9752" max="9752" width="9.88671875" customWidth="1"/>
    <col min="9753" max="9984" width="6.88671875" customWidth="1"/>
    <col min="9985" max="9985" width="3.109375" customWidth="1"/>
    <col min="9986" max="9986" width="21.109375" customWidth="1"/>
    <col min="9987" max="9987" width="7.44140625" customWidth="1"/>
    <col min="9988" max="9988" width="1.44140625" customWidth="1"/>
    <col min="9989" max="9989" width="11.88671875" customWidth="1"/>
    <col min="9990" max="9990" width="2.33203125" customWidth="1"/>
    <col min="9991" max="9991" width="11.33203125" customWidth="1"/>
    <col min="9992" max="9992" width="2" customWidth="1"/>
    <col min="9993" max="9993" width="12.88671875" customWidth="1"/>
    <col min="9994" max="9994" width="1.44140625" customWidth="1"/>
    <col min="9995" max="9995" width="11.5546875" customWidth="1"/>
    <col min="9996" max="9996" width="2.88671875" customWidth="1"/>
    <col min="9997" max="9997" width="1" customWidth="1"/>
    <col min="9998" max="9998" width="9.109375" customWidth="1"/>
    <col min="9999" max="9999" width="2.33203125" customWidth="1"/>
    <col min="10000" max="10000" width="2.109375" customWidth="1"/>
    <col min="10001" max="10001" width="9.33203125" customWidth="1"/>
    <col min="10002" max="10002" width="4" customWidth="1"/>
    <col min="10003" max="10003" width="2.88671875" customWidth="1"/>
    <col min="10004" max="10004" width="12.5546875" customWidth="1"/>
    <col min="10005" max="10005" width="1" customWidth="1"/>
    <col min="10006" max="10006" width="1.109375" customWidth="1"/>
    <col min="10007" max="10007" width="2.88671875" customWidth="1"/>
    <col min="10008" max="10008" width="9.88671875" customWidth="1"/>
    <col min="10009" max="10240" width="6.88671875" customWidth="1"/>
    <col min="10241" max="10241" width="3.109375" customWidth="1"/>
    <col min="10242" max="10242" width="21.109375" customWidth="1"/>
    <col min="10243" max="10243" width="7.44140625" customWidth="1"/>
    <col min="10244" max="10244" width="1.44140625" customWidth="1"/>
    <col min="10245" max="10245" width="11.88671875" customWidth="1"/>
    <col min="10246" max="10246" width="2.33203125" customWidth="1"/>
    <col min="10247" max="10247" width="11.33203125" customWidth="1"/>
    <col min="10248" max="10248" width="2" customWidth="1"/>
    <col min="10249" max="10249" width="12.88671875" customWidth="1"/>
    <col min="10250" max="10250" width="1.44140625" customWidth="1"/>
    <col min="10251" max="10251" width="11.5546875" customWidth="1"/>
    <col min="10252" max="10252" width="2.88671875" customWidth="1"/>
    <col min="10253" max="10253" width="1" customWidth="1"/>
    <col min="10254" max="10254" width="9.109375" customWidth="1"/>
    <col min="10255" max="10255" width="2.33203125" customWidth="1"/>
    <col min="10256" max="10256" width="2.109375" customWidth="1"/>
    <col min="10257" max="10257" width="9.33203125" customWidth="1"/>
    <col min="10258" max="10258" width="4" customWidth="1"/>
    <col min="10259" max="10259" width="2.88671875" customWidth="1"/>
    <col min="10260" max="10260" width="12.5546875" customWidth="1"/>
    <col min="10261" max="10261" width="1" customWidth="1"/>
    <col min="10262" max="10262" width="1.109375" customWidth="1"/>
    <col min="10263" max="10263" width="2.88671875" customWidth="1"/>
    <col min="10264" max="10264" width="9.88671875" customWidth="1"/>
    <col min="10265" max="10496" width="6.88671875" customWidth="1"/>
    <col min="10497" max="10497" width="3.109375" customWidth="1"/>
    <col min="10498" max="10498" width="21.109375" customWidth="1"/>
    <col min="10499" max="10499" width="7.44140625" customWidth="1"/>
    <col min="10500" max="10500" width="1.44140625" customWidth="1"/>
    <col min="10501" max="10501" width="11.88671875" customWidth="1"/>
    <col min="10502" max="10502" width="2.33203125" customWidth="1"/>
    <col min="10503" max="10503" width="11.33203125" customWidth="1"/>
    <col min="10504" max="10504" width="2" customWidth="1"/>
    <col min="10505" max="10505" width="12.88671875" customWidth="1"/>
    <col min="10506" max="10506" width="1.44140625" customWidth="1"/>
    <col min="10507" max="10507" width="11.5546875" customWidth="1"/>
    <col min="10508" max="10508" width="2.88671875" customWidth="1"/>
    <col min="10509" max="10509" width="1" customWidth="1"/>
    <col min="10510" max="10510" width="9.109375" customWidth="1"/>
    <col min="10511" max="10511" width="2.33203125" customWidth="1"/>
    <col min="10512" max="10512" width="2.109375" customWidth="1"/>
    <col min="10513" max="10513" width="9.33203125" customWidth="1"/>
    <col min="10514" max="10514" width="4" customWidth="1"/>
    <col min="10515" max="10515" width="2.88671875" customWidth="1"/>
    <col min="10516" max="10516" width="12.5546875" customWidth="1"/>
    <col min="10517" max="10517" width="1" customWidth="1"/>
    <col min="10518" max="10518" width="1.109375" customWidth="1"/>
    <col min="10519" max="10519" width="2.88671875" customWidth="1"/>
    <col min="10520" max="10520" width="9.88671875" customWidth="1"/>
    <col min="10521" max="10752" width="6.88671875" customWidth="1"/>
    <col min="10753" max="10753" width="3.109375" customWidth="1"/>
    <col min="10754" max="10754" width="21.109375" customWidth="1"/>
    <col min="10755" max="10755" width="7.44140625" customWidth="1"/>
    <col min="10756" max="10756" width="1.44140625" customWidth="1"/>
    <col min="10757" max="10757" width="11.88671875" customWidth="1"/>
    <col min="10758" max="10758" width="2.33203125" customWidth="1"/>
    <col min="10759" max="10759" width="11.33203125" customWidth="1"/>
    <col min="10760" max="10760" width="2" customWidth="1"/>
    <col min="10761" max="10761" width="12.88671875" customWidth="1"/>
    <col min="10762" max="10762" width="1.44140625" customWidth="1"/>
    <col min="10763" max="10763" width="11.5546875" customWidth="1"/>
    <col min="10764" max="10764" width="2.88671875" customWidth="1"/>
    <col min="10765" max="10765" width="1" customWidth="1"/>
    <col min="10766" max="10766" width="9.109375" customWidth="1"/>
    <col min="10767" max="10767" width="2.33203125" customWidth="1"/>
    <col min="10768" max="10768" width="2.109375" customWidth="1"/>
    <col min="10769" max="10769" width="9.33203125" customWidth="1"/>
    <col min="10770" max="10770" width="4" customWidth="1"/>
    <col min="10771" max="10771" width="2.88671875" customWidth="1"/>
    <col min="10772" max="10772" width="12.5546875" customWidth="1"/>
    <col min="10773" max="10773" width="1" customWidth="1"/>
    <col min="10774" max="10774" width="1.109375" customWidth="1"/>
    <col min="10775" max="10775" width="2.88671875" customWidth="1"/>
    <col min="10776" max="10776" width="9.88671875" customWidth="1"/>
    <col min="10777" max="11008" width="6.88671875" customWidth="1"/>
    <col min="11009" max="11009" width="3.109375" customWidth="1"/>
    <col min="11010" max="11010" width="21.109375" customWidth="1"/>
    <col min="11011" max="11011" width="7.44140625" customWidth="1"/>
    <col min="11012" max="11012" width="1.44140625" customWidth="1"/>
    <col min="11013" max="11013" width="11.88671875" customWidth="1"/>
    <col min="11014" max="11014" width="2.33203125" customWidth="1"/>
    <col min="11015" max="11015" width="11.33203125" customWidth="1"/>
    <col min="11016" max="11016" width="2" customWidth="1"/>
    <col min="11017" max="11017" width="12.88671875" customWidth="1"/>
    <col min="11018" max="11018" width="1.44140625" customWidth="1"/>
    <col min="11019" max="11019" width="11.5546875" customWidth="1"/>
    <col min="11020" max="11020" width="2.88671875" customWidth="1"/>
    <col min="11021" max="11021" width="1" customWidth="1"/>
    <col min="11022" max="11022" width="9.109375" customWidth="1"/>
    <col min="11023" max="11023" width="2.33203125" customWidth="1"/>
    <col min="11024" max="11024" width="2.109375" customWidth="1"/>
    <col min="11025" max="11025" width="9.33203125" customWidth="1"/>
    <col min="11026" max="11026" width="4" customWidth="1"/>
    <col min="11027" max="11027" width="2.88671875" customWidth="1"/>
    <col min="11028" max="11028" width="12.5546875" customWidth="1"/>
    <col min="11029" max="11029" width="1" customWidth="1"/>
    <col min="11030" max="11030" width="1.109375" customWidth="1"/>
    <col min="11031" max="11031" width="2.88671875" customWidth="1"/>
    <col min="11032" max="11032" width="9.88671875" customWidth="1"/>
    <col min="11033" max="11264" width="6.88671875" customWidth="1"/>
    <col min="11265" max="11265" width="3.109375" customWidth="1"/>
    <col min="11266" max="11266" width="21.109375" customWidth="1"/>
    <col min="11267" max="11267" width="7.44140625" customWidth="1"/>
    <col min="11268" max="11268" width="1.44140625" customWidth="1"/>
    <col min="11269" max="11269" width="11.88671875" customWidth="1"/>
    <col min="11270" max="11270" width="2.33203125" customWidth="1"/>
    <col min="11271" max="11271" width="11.33203125" customWidth="1"/>
    <col min="11272" max="11272" width="2" customWidth="1"/>
    <col min="11273" max="11273" width="12.88671875" customWidth="1"/>
    <col min="11274" max="11274" width="1.44140625" customWidth="1"/>
    <col min="11275" max="11275" width="11.5546875" customWidth="1"/>
    <col min="11276" max="11276" width="2.88671875" customWidth="1"/>
    <col min="11277" max="11277" width="1" customWidth="1"/>
    <col min="11278" max="11278" width="9.109375" customWidth="1"/>
    <col min="11279" max="11279" width="2.33203125" customWidth="1"/>
    <col min="11280" max="11280" width="2.109375" customWidth="1"/>
    <col min="11281" max="11281" width="9.33203125" customWidth="1"/>
    <col min="11282" max="11282" width="4" customWidth="1"/>
    <col min="11283" max="11283" width="2.88671875" customWidth="1"/>
    <col min="11284" max="11284" width="12.5546875" customWidth="1"/>
    <col min="11285" max="11285" width="1" customWidth="1"/>
    <col min="11286" max="11286" width="1.109375" customWidth="1"/>
    <col min="11287" max="11287" width="2.88671875" customWidth="1"/>
    <col min="11288" max="11288" width="9.88671875" customWidth="1"/>
    <col min="11289" max="11520" width="6.88671875" customWidth="1"/>
    <col min="11521" max="11521" width="3.109375" customWidth="1"/>
    <col min="11522" max="11522" width="21.109375" customWidth="1"/>
    <col min="11523" max="11523" width="7.44140625" customWidth="1"/>
    <col min="11524" max="11524" width="1.44140625" customWidth="1"/>
    <col min="11525" max="11525" width="11.88671875" customWidth="1"/>
    <col min="11526" max="11526" width="2.33203125" customWidth="1"/>
    <col min="11527" max="11527" width="11.33203125" customWidth="1"/>
    <col min="11528" max="11528" width="2" customWidth="1"/>
    <col min="11529" max="11529" width="12.88671875" customWidth="1"/>
    <col min="11530" max="11530" width="1.44140625" customWidth="1"/>
    <col min="11531" max="11531" width="11.5546875" customWidth="1"/>
    <col min="11532" max="11532" width="2.88671875" customWidth="1"/>
    <col min="11533" max="11533" width="1" customWidth="1"/>
    <col min="11534" max="11534" width="9.109375" customWidth="1"/>
    <col min="11535" max="11535" width="2.33203125" customWidth="1"/>
    <col min="11536" max="11536" width="2.109375" customWidth="1"/>
    <col min="11537" max="11537" width="9.33203125" customWidth="1"/>
    <col min="11538" max="11538" width="4" customWidth="1"/>
    <col min="11539" max="11539" width="2.88671875" customWidth="1"/>
    <col min="11540" max="11540" width="12.5546875" customWidth="1"/>
    <col min="11541" max="11541" width="1" customWidth="1"/>
    <col min="11542" max="11542" width="1.109375" customWidth="1"/>
    <col min="11543" max="11543" width="2.88671875" customWidth="1"/>
    <col min="11544" max="11544" width="9.88671875" customWidth="1"/>
    <col min="11545" max="11776" width="6.88671875" customWidth="1"/>
    <col min="11777" max="11777" width="3.109375" customWidth="1"/>
    <col min="11778" max="11778" width="21.109375" customWidth="1"/>
    <col min="11779" max="11779" width="7.44140625" customWidth="1"/>
    <col min="11780" max="11780" width="1.44140625" customWidth="1"/>
    <col min="11781" max="11781" width="11.88671875" customWidth="1"/>
    <col min="11782" max="11782" width="2.33203125" customWidth="1"/>
    <col min="11783" max="11783" width="11.33203125" customWidth="1"/>
    <col min="11784" max="11784" width="2" customWidth="1"/>
    <col min="11785" max="11785" width="12.88671875" customWidth="1"/>
    <col min="11786" max="11786" width="1.44140625" customWidth="1"/>
    <col min="11787" max="11787" width="11.5546875" customWidth="1"/>
    <col min="11788" max="11788" width="2.88671875" customWidth="1"/>
    <col min="11789" max="11789" width="1" customWidth="1"/>
    <col min="11790" max="11790" width="9.109375" customWidth="1"/>
    <col min="11791" max="11791" width="2.33203125" customWidth="1"/>
    <col min="11792" max="11792" width="2.109375" customWidth="1"/>
    <col min="11793" max="11793" width="9.33203125" customWidth="1"/>
    <col min="11794" max="11794" width="4" customWidth="1"/>
    <col min="11795" max="11795" width="2.88671875" customWidth="1"/>
    <col min="11796" max="11796" width="12.5546875" customWidth="1"/>
    <col min="11797" max="11797" width="1" customWidth="1"/>
    <col min="11798" max="11798" width="1.109375" customWidth="1"/>
    <col min="11799" max="11799" width="2.88671875" customWidth="1"/>
    <col min="11800" max="11800" width="9.88671875" customWidth="1"/>
    <col min="11801" max="12032" width="6.88671875" customWidth="1"/>
    <col min="12033" max="12033" width="3.109375" customWidth="1"/>
    <col min="12034" max="12034" width="21.109375" customWidth="1"/>
    <col min="12035" max="12035" width="7.44140625" customWidth="1"/>
    <col min="12036" max="12036" width="1.44140625" customWidth="1"/>
    <col min="12037" max="12037" width="11.88671875" customWidth="1"/>
    <col min="12038" max="12038" width="2.33203125" customWidth="1"/>
    <col min="12039" max="12039" width="11.33203125" customWidth="1"/>
    <col min="12040" max="12040" width="2" customWidth="1"/>
    <col min="12041" max="12041" width="12.88671875" customWidth="1"/>
    <col min="12042" max="12042" width="1.44140625" customWidth="1"/>
    <col min="12043" max="12043" width="11.5546875" customWidth="1"/>
    <col min="12044" max="12044" width="2.88671875" customWidth="1"/>
    <col min="12045" max="12045" width="1" customWidth="1"/>
    <col min="12046" max="12046" width="9.109375" customWidth="1"/>
    <col min="12047" max="12047" width="2.33203125" customWidth="1"/>
    <col min="12048" max="12048" width="2.109375" customWidth="1"/>
    <col min="12049" max="12049" width="9.33203125" customWidth="1"/>
    <col min="12050" max="12050" width="4" customWidth="1"/>
    <col min="12051" max="12051" width="2.88671875" customWidth="1"/>
    <col min="12052" max="12052" width="12.5546875" customWidth="1"/>
    <col min="12053" max="12053" width="1" customWidth="1"/>
    <col min="12054" max="12054" width="1.109375" customWidth="1"/>
    <col min="12055" max="12055" width="2.88671875" customWidth="1"/>
    <col min="12056" max="12056" width="9.88671875" customWidth="1"/>
    <col min="12057" max="12288" width="6.88671875" customWidth="1"/>
    <col min="12289" max="12289" width="3.109375" customWidth="1"/>
    <col min="12290" max="12290" width="21.109375" customWidth="1"/>
    <col min="12291" max="12291" width="7.44140625" customWidth="1"/>
    <col min="12292" max="12292" width="1.44140625" customWidth="1"/>
    <col min="12293" max="12293" width="11.88671875" customWidth="1"/>
    <col min="12294" max="12294" width="2.33203125" customWidth="1"/>
    <col min="12295" max="12295" width="11.33203125" customWidth="1"/>
    <col min="12296" max="12296" width="2" customWidth="1"/>
    <col min="12297" max="12297" width="12.88671875" customWidth="1"/>
    <col min="12298" max="12298" width="1.44140625" customWidth="1"/>
    <col min="12299" max="12299" width="11.5546875" customWidth="1"/>
    <col min="12300" max="12300" width="2.88671875" customWidth="1"/>
    <col min="12301" max="12301" width="1" customWidth="1"/>
    <col min="12302" max="12302" width="9.109375" customWidth="1"/>
    <col min="12303" max="12303" width="2.33203125" customWidth="1"/>
    <col min="12304" max="12304" width="2.109375" customWidth="1"/>
    <col min="12305" max="12305" width="9.33203125" customWidth="1"/>
    <col min="12306" max="12306" width="4" customWidth="1"/>
    <col min="12307" max="12307" width="2.88671875" customWidth="1"/>
    <col min="12308" max="12308" width="12.5546875" customWidth="1"/>
    <col min="12309" max="12309" width="1" customWidth="1"/>
    <col min="12310" max="12310" width="1.109375" customWidth="1"/>
    <col min="12311" max="12311" width="2.88671875" customWidth="1"/>
    <col min="12312" max="12312" width="9.88671875" customWidth="1"/>
    <col min="12313" max="12544" width="6.88671875" customWidth="1"/>
    <col min="12545" max="12545" width="3.109375" customWidth="1"/>
    <col min="12546" max="12546" width="21.109375" customWidth="1"/>
    <col min="12547" max="12547" width="7.44140625" customWidth="1"/>
    <col min="12548" max="12548" width="1.44140625" customWidth="1"/>
    <col min="12549" max="12549" width="11.88671875" customWidth="1"/>
    <col min="12550" max="12550" width="2.33203125" customWidth="1"/>
    <col min="12551" max="12551" width="11.33203125" customWidth="1"/>
    <col min="12552" max="12552" width="2" customWidth="1"/>
    <col min="12553" max="12553" width="12.88671875" customWidth="1"/>
    <col min="12554" max="12554" width="1.44140625" customWidth="1"/>
    <col min="12555" max="12555" width="11.5546875" customWidth="1"/>
    <col min="12556" max="12556" width="2.88671875" customWidth="1"/>
    <col min="12557" max="12557" width="1" customWidth="1"/>
    <col min="12558" max="12558" width="9.109375" customWidth="1"/>
    <col min="12559" max="12559" width="2.33203125" customWidth="1"/>
    <col min="12560" max="12560" width="2.109375" customWidth="1"/>
    <col min="12561" max="12561" width="9.33203125" customWidth="1"/>
    <col min="12562" max="12562" width="4" customWidth="1"/>
    <col min="12563" max="12563" width="2.88671875" customWidth="1"/>
    <col min="12564" max="12564" width="12.5546875" customWidth="1"/>
    <col min="12565" max="12565" width="1" customWidth="1"/>
    <col min="12566" max="12566" width="1.109375" customWidth="1"/>
    <col min="12567" max="12567" width="2.88671875" customWidth="1"/>
    <col min="12568" max="12568" width="9.88671875" customWidth="1"/>
    <col min="12569" max="12800" width="6.88671875" customWidth="1"/>
    <col min="12801" max="12801" width="3.109375" customWidth="1"/>
    <col min="12802" max="12802" width="21.109375" customWidth="1"/>
    <col min="12803" max="12803" width="7.44140625" customWidth="1"/>
    <col min="12804" max="12804" width="1.44140625" customWidth="1"/>
    <col min="12805" max="12805" width="11.88671875" customWidth="1"/>
    <col min="12806" max="12806" width="2.33203125" customWidth="1"/>
    <col min="12807" max="12807" width="11.33203125" customWidth="1"/>
    <col min="12808" max="12808" width="2" customWidth="1"/>
    <col min="12809" max="12809" width="12.88671875" customWidth="1"/>
    <col min="12810" max="12810" width="1.44140625" customWidth="1"/>
    <col min="12811" max="12811" width="11.5546875" customWidth="1"/>
    <col min="12812" max="12812" width="2.88671875" customWidth="1"/>
    <col min="12813" max="12813" width="1" customWidth="1"/>
    <col min="12814" max="12814" width="9.109375" customWidth="1"/>
    <col min="12815" max="12815" width="2.33203125" customWidth="1"/>
    <col min="12816" max="12816" width="2.109375" customWidth="1"/>
    <col min="12817" max="12817" width="9.33203125" customWidth="1"/>
    <col min="12818" max="12818" width="4" customWidth="1"/>
    <col min="12819" max="12819" width="2.88671875" customWidth="1"/>
    <col min="12820" max="12820" width="12.5546875" customWidth="1"/>
    <col min="12821" max="12821" width="1" customWidth="1"/>
    <col min="12822" max="12822" width="1.109375" customWidth="1"/>
    <col min="12823" max="12823" width="2.88671875" customWidth="1"/>
    <col min="12824" max="12824" width="9.88671875" customWidth="1"/>
    <col min="12825" max="13056" width="6.88671875" customWidth="1"/>
    <col min="13057" max="13057" width="3.109375" customWidth="1"/>
    <col min="13058" max="13058" width="21.109375" customWidth="1"/>
    <col min="13059" max="13059" width="7.44140625" customWidth="1"/>
    <col min="13060" max="13060" width="1.44140625" customWidth="1"/>
    <col min="13061" max="13061" width="11.88671875" customWidth="1"/>
    <col min="13062" max="13062" width="2.33203125" customWidth="1"/>
    <col min="13063" max="13063" width="11.33203125" customWidth="1"/>
    <col min="13064" max="13064" width="2" customWidth="1"/>
    <col min="13065" max="13065" width="12.88671875" customWidth="1"/>
    <col min="13066" max="13066" width="1.44140625" customWidth="1"/>
    <col min="13067" max="13067" width="11.5546875" customWidth="1"/>
    <col min="13068" max="13068" width="2.88671875" customWidth="1"/>
    <col min="13069" max="13069" width="1" customWidth="1"/>
    <col min="13070" max="13070" width="9.109375" customWidth="1"/>
    <col min="13071" max="13071" width="2.33203125" customWidth="1"/>
    <col min="13072" max="13072" width="2.109375" customWidth="1"/>
    <col min="13073" max="13073" width="9.33203125" customWidth="1"/>
    <col min="13074" max="13074" width="4" customWidth="1"/>
    <col min="13075" max="13075" width="2.88671875" customWidth="1"/>
    <col min="13076" max="13076" width="12.5546875" customWidth="1"/>
    <col min="13077" max="13077" width="1" customWidth="1"/>
    <col min="13078" max="13078" width="1.109375" customWidth="1"/>
    <col min="13079" max="13079" width="2.88671875" customWidth="1"/>
    <col min="13080" max="13080" width="9.88671875" customWidth="1"/>
    <col min="13081" max="13312" width="6.88671875" customWidth="1"/>
    <col min="13313" max="13313" width="3.109375" customWidth="1"/>
    <col min="13314" max="13314" width="21.109375" customWidth="1"/>
    <col min="13315" max="13315" width="7.44140625" customWidth="1"/>
    <col min="13316" max="13316" width="1.44140625" customWidth="1"/>
    <col min="13317" max="13317" width="11.88671875" customWidth="1"/>
    <col min="13318" max="13318" width="2.33203125" customWidth="1"/>
    <col min="13319" max="13319" width="11.33203125" customWidth="1"/>
    <col min="13320" max="13320" width="2" customWidth="1"/>
    <col min="13321" max="13321" width="12.88671875" customWidth="1"/>
    <col min="13322" max="13322" width="1.44140625" customWidth="1"/>
    <col min="13323" max="13323" width="11.5546875" customWidth="1"/>
    <col min="13324" max="13324" width="2.88671875" customWidth="1"/>
    <col min="13325" max="13325" width="1" customWidth="1"/>
    <col min="13326" max="13326" width="9.109375" customWidth="1"/>
    <col min="13327" max="13327" width="2.33203125" customWidth="1"/>
    <col min="13328" max="13328" width="2.109375" customWidth="1"/>
    <col min="13329" max="13329" width="9.33203125" customWidth="1"/>
    <col min="13330" max="13330" width="4" customWidth="1"/>
    <col min="13331" max="13331" width="2.88671875" customWidth="1"/>
    <col min="13332" max="13332" width="12.5546875" customWidth="1"/>
    <col min="13333" max="13333" width="1" customWidth="1"/>
    <col min="13334" max="13334" width="1.109375" customWidth="1"/>
    <col min="13335" max="13335" width="2.88671875" customWidth="1"/>
    <col min="13336" max="13336" width="9.88671875" customWidth="1"/>
    <col min="13337" max="13568" width="6.88671875" customWidth="1"/>
    <col min="13569" max="13569" width="3.109375" customWidth="1"/>
    <col min="13570" max="13570" width="21.109375" customWidth="1"/>
    <col min="13571" max="13571" width="7.44140625" customWidth="1"/>
    <col min="13572" max="13572" width="1.44140625" customWidth="1"/>
    <col min="13573" max="13573" width="11.88671875" customWidth="1"/>
    <col min="13574" max="13574" width="2.33203125" customWidth="1"/>
    <col min="13575" max="13575" width="11.33203125" customWidth="1"/>
    <col min="13576" max="13576" width="2" customWidth="1"/>
    <col min="13577" max="13577" width="12.88671875" customWidth="1"/>
    <col min="13578" max="13578" width="1.44140625" customWidth="1"/>
    <col min="13579" max="13579" width="11.5546875" customWidth="1"/>
    <col min="13580" max="13580" width="2.88671875" customWidth="1"/>
    <col min="13581" max="13581" width="1" customWidth="1"/>
    <col min="13582" max="13582" width="9.109375" customWidth="1"/>
    <col min="13583" max="13583" width="2.33203125" customWidth="1"/>
    <col min="13584" max="13584" width="2.109375" customWidth="1"/>
    <col min="13585" max="13585" width="9.33203125" customWidth="1"/>
    <col min="13586" max="13586" width="4" customWidth="1"/>
    <col min="13587" max="13587" width="2.88671875" customWidth="1"/>
    <col min="13588" max="13588" width="12.5546875" customWidth="1"/>
    <col min="13589" max="13589" width="1" customWidth="1"/>
    <col min="13590" max="13590" width="1.109375" customWidth="1"/>
    <col min="13591" max="13591" width="2.88671875" customWidth="1"/>
    <col min="13592" max="13592" width="9.88671875" customWidth="1"/>
    <col min="13593" max="13824" width="6.88671875" customWidth="1"/>
    <col min="13825" max="13825" width="3.109375" customWidth="1"/>
    <col min="13826" max="13826" width="21.109375" customWidth="1"/>
    <col min="13827" max="13827" width="7.44140625" customWidth="1"/>
    <col min="13828" max="13828" width="1.44140625" customWidth="1"/>
    <col min="13829" max="13829" width="11.88671875" customWidth="1"/>
    <col min="13830" max="13830" width="2.33203125" customWidth="1"/>
    <col min="13831" max="13831" width="11.33203125" customWidth="1"/>
    <col min="13832" max="13832" width="2" customWidth="1"/>
    <col min="13833" max="13833" width="12.88671875" customWidth="1"/>
    <col min="13834" max="13834" width="1.44140625" customWidth="1"/>
    <col min="13835" max="13835" width="11.5546875" customWidth="1"/>
    <col min="13836" max="13836" width="2.88671875" customWidth="1"/>
    <col min="13837" max="13837" width="1" customWidth="1"/>
    <col min="13838" max="13838" width="9.109375" customWidth="1"/>
    <col min="13839" max="13839" width="2.33203125" customWidth="1"/>
    <col min="13840" max="13840" width="2.109375" customWidth="1"/>
    <col min="13841" max="13841" width="9.33203125" customWidth="1"/>
    <col min="13842" max="13842" width="4" customWidth="1"/>
    <col min="13843" max="13843" width="2.88671875" customWidth="1"/>
    <col min="13844" max="13844" width="12.5546875" customWidth="1"/>
    <col min="13845" max="13845" width="1" customWidth="1"/>
    <col min="13846" max="13846" width="1.109375" customWidth="1"/>
    <col min="13847" max="13847" width="2.88671875" customWidth="1"/>
    <col min="13848" max="13848" width="9.88671875" customWidth="1"/>
    <col min="13849" max="14080" width="6.88671875" customWidth="1"/>
    <col min="14081" max="14081" width="3.109375" customWidth="1"/>
    <col min="14082" max="14082" width="21.109375" customWidth="1"/>
    <col min="14083" max="14083" width="7.44140625" customWidth="1"/>
    <col min="14084" max="14084" width="1.44140625" customWidth="1"/>
    <col min="14085" max="14085" width="11.88671875" customWidth="1"/>
    <col min="14086" max="14086" width="2.33203125" customWidth="1"/>
    <col min="14087" max="14087" width="11.33203125" customWidth="1"/>
    <col min="14088" max="14088" width="2" customWidth="1"/>
    <col min="14089" max="14089" width="12.88671875" customWidth="1"/>
    <col min="14090" max="14090" width="1.44140625" customWidth="1"/>
    <col min="14091" max="14091" width="11.5546875" customWidth="1"/>
    <col min="14092" max="14092" width="2.88671875" customWidth="1"/>
    <col min="14093" max="14093" width="1" customWidth="1"/>
    <col min="14094" max="14094" width="9.109375" customWidth="1"/>
    <col min="14095" max="14095" width="2.33203125" customWidth="1"/>
    <col min="14096" max="14096" width="2.109375" customWidth="1"/>
    <col min="14097" max="14097" width="9.33203125" customWidth="1"/>
    <col min="14098" max="14098" width="4" customWidth="1"/>
    <col min="14099" max="14099" width="2.88671875" customWidth="1"/>
    <col min="14100" max="14100" width="12.5546875" customWidth="1"/>
    <col min="14101" max="14101" width="1" customWidth="1"/>
    <col min="14102" max="14102" width="1.109375" customWidth="1"/>
    <col min="14103" max="14103" width="2.88671875" customWidth="1"/>
    <col min="14104" max="14104" width="9.88671875" customWidth="1"/>
    <col min="14105" max="14336" width="6.88671875" customWidth="1"/>
    <col min="14337" max="14337" width="3.109375" customWidth="1"/>
    <col min="14338" max="14338" width="21.109375" customWidth="1"/>
    <col min="14339" max="14339" width="7.44140625" customWidth="1"/>
    <col min="14340" max="14340" width="1.44140625" customWidth="1"/>
    <col min="14341" max="14341" width="11.88671875" customWidth="1"/>
    <col min="14342" max="14342" width="2.33203125" customWidth="1"/>
    <col min="14343" max="14343" width="11.33203125" customWidth="1"/>
    <col min="14344" max="14344" width="2" customWidth="1"/>
    <col min="14345" max="14345" width="12.88671875" customWidth="1"/>
    <col min="14346" max="14346" width="1.44140625" customWidth="1"/>
    <col min="14347" max="14347" width="11.5546875" customWidth="1"/>
    <col min="14348" max="14348" width="2.88671875" customWidth="1"/>
    <col min="14349" max="14349" width="1" customWidth="1"/>
    <col min="14350" max="14350" width="9.109375" customWidth="1"/>
    <col min="14351" max="14351" width="2.33203125" customWidth="1"/>
    <col min="14352" max="14352" width="2.109375" customWidth="1"/>
    <col min="14353" max="14353" width="9.33203125" customWidth="1"/>
    <col min="14354" max="14354" width="4" customWidth="1"/>
    <col min="14355" max="14355" width="2.88671875" customWidth="1"/>
    <col min="14356" max="14356" width="12.5546875" customWidth="1"/>
    <col min="14357" max="14357" width="1" customWidth="1"/>
    <col min="14358" max="14358" width="1.109375" customWidth="1"/>
    <col min="14359" max="14359" width="2.88671875" customWidth="1"/>
    <col min="14360" max="14360" width="9.88671875" customWidth="1"/>
    <col min="14361" max="14592" width="6.88671875" customWidth="1"/>
    <col min="14593" max="14593" width="3.109375" customWidth="1"/>
    <col min="14594" max="14594" width="21.109375" customWidth="1"/>
    <col min="14595" max="14595" width="7.44140625" customWidth="1"/>
    <col min="14596" max="14596" width="1.44140625" customWidth="1"/>
    <col min="14597" max="14597" width="11.88671875" customWidth="1"/>
    <col min="14598" max="14598" width="2.33203125" customWidth="1"/>
    <col min="14599" max="14599" width="11.33203125" customWidth="1"/>
    <col min="14600" max="14600" width="2" customWidth="1"/>
    <col min="14601" max="14601" width="12.88671875" customWidth="1"/>
    <col min="14602" max="14602" width="1.44140625" customWidth="1"/>
    <col min="14603" max="14603" width="11.5546875" customWidth="1"/>
    <col min="14604" max="14604" width="2.88671875" customWidth="1"/>
    <col min="14605" max="14605" width="1" customWidth="1"/>
    <col min="14606" max="14606" width="9.109375" customWidth="1"/>
    <col min="14607" max="14607" width="2.33203125" customWidth="1"/>
    <col min="14608" max="14608" width="2.109375" customWidth="1"/>
    <col min="14609" max="14609" width="9.33203125" customWidth="1"/>
    <col min="14610" max="14610" width="4" customWidth="1"/>
    <col min="14611" max="14611" width="2.88671875" customWidth="1"/>
    <col min="14612" max="14612" width="12.5546875" customWidth="1"/>
    <col min="14613" max="14613" width="1" customWidth="1"/>
    <col min="14614" max="14614" width="1.109375" customWidth="1"/>
    <col min="14615" max="14615" width="2.88671875" customWidth="1"/>
    <col min="14616" max="14616" width="9.88671875" customWidth="1"/>
    <col min="14617" max="14848" width="6.88671875" customWidth="1"/>
    <col min="14849" max="14849" width="3.109375" customWidth="1"/>
    <col min="14850" max="14850" width="21.109375" customWidth="1"/>
    <col min="14851" max="14851" width="7.44140625" customWidth="1"/>
    <col min="14852" max="14852" width="1.44140625" customWidth="1"/>
    <col min="14853" max="14853" width="11.88671875" customWidth="1"/>
    <col min="14854" max="14854" width="2.33203125" customWidth="1"/>
    <col min="14855" max="14855" width="11.33203125" customWidth="1"/>
    <col min="14856" max="14856" width="2" customWidth="1"/>
    <col min="14857" max="14857" width="12.88671875" customWidth="1"/>
    <col min="14858" max="14858" width="1.44140625" customWidth="1"/>
    <col min="14859" max="14859" width="11.5546875" customWidth="1"/>
    <col min="14860" max="14860" width="2.88671875" customWidth="1"/>
    <col min="14861" max="14861" width="1" customWidth="1"/>
    <col min="14862" max="14862" width="9.109375" customWidth="1"/>
    <col min="14863" max="14863" width="2.33203125" customWidth="1"/>
    <col min="14864" max="14864" width="2.109375" customWidth="1"/>
    <col min="14865" max="14865" width="9.33203125" customWidth="1"/>
    <col min="14866" max="14866" width="4" customWidth="1"/>
    <col min="14867" max="14867" width="2.88671875" customWidth="1"/>
    <col min="14868" max="14868" width="12.5546875" customWidth="1"/>
    <col min="14869" max="14869" width="1" customWidth="1"/>
    <col min="14870" max="14870" width="1.109375" customWidth="1"/>
    <col min="14871" max="14871" width="2.88671875" customWidth="1"/>
    <col min="14872" max="14872" width="9.88671875" customWidth="1"/>
    <col min="14873" max="15104" width="6.88671875" customWidth="1"/>
    <col min="15105" max="15105" width="3.109375" customWidth="1"/>
    <col min="15106" max="15106" width="21.109375" customWidth="1"/>
    <col min="15107" max="15107" width="7.44140625" customWidth="1"/>
    <col min="15108" max="15108" width="1.44140625" customWidth="1"/>
    <col min="15109" max="15109" width="11.88671875" customWidth="1"/>
    <col min="15110" max="15110" width="2.33203125" customWidth="1"/>
    <col min="15111" max="15111" width="11.33203125" customWidth="1"/>
    <col min="15112" max="15112" width="2" customWidth="1"/>
    <col min="15113" max="15113" width="12.88671875" customWidth="1"/>
    <col min="15114" max="15114" width="1.44140625" customWidth="1"/>
    <col min="15115" max="15115" width="11.5546875" customWidth="1"/>
    <col min="15116" max="15116" width="2.88671875" customWidth="1"/>
    <col min="15117" max="15117" width="1" customWidth="1"/>
    <col min="15118" max="15118" width="9.109375" customWidth="1"/>
    <col min="15119" max="15119" width="2.33203125" customWidth="1"/>
    <col min="15120" max="15120" width="2.109375" customWidth="1"/>
    <col min="15121" max="15121" width="9.33203125" customWidth="1"/>
    <col min="15122" max="15122" width="4" customWidth="1"/>
    <col min="15123" max="15123" width="2.88671875" customWidth="1"/>
    <col min="15124" max="15124" width="12.5546875" customWidth="1"/>
    <col min="15125" max="15125" width="1" customWidth="1"/>
    <col min="15126" max="15126" width="1.109375" customWidth="1"/>
    <col min="15127" max="15127" width="2.88671875" customWidth="1"/>
    <col min="15128" max="15128" width="9.88671875" customWidth="1"/>
    <col min="15129" max="15360" width="6.88671875" customWidth="1"/>
    <col min="15361" max="15361" width="3.109375" customWidth="1"/>
    <col min="15362" max="15362" width="21.109375" customWidth="1"/>
    <col min="15363" max="15363" width="7.44140625" customWidth="1"/>
    <col min="15364" max="15364" width="1.44140625" customWidth="1"/>
    <col min="15365" max="15365" width="11.88671875" customWidth="1"/>
    <col min="15366" max="15366" width="2.33203125" customWidth="1"/>
    <col min="15367" max="15367" width="11.33203125" customWidth="1"/>
    <col min="15368" max="15368" width="2" customWidth="1"/>
    <col min="15369" max="15369" width="12.88671875" customWidth="1"/>
    <col min="15370" max="15370" width="1.44140625" customWidth="1"/>
    <col min="15371" max="15371" width="11.5546875" customWidth="1"/>
    <col min="15372" max="15372" width="2.88671875" customWidth="1"/>
    <col min="15373" max="15373" width="1" customWidth="1"/>
    <col min="15374" max="15374" width="9.109375" customWidth="1"/>
    <col min="15375" max="15375" width="2.33203125" customWidth="1"/>
    <col min="15376" max="15376" width="2.109375" customWidth="1"/>
    <col min="15377" max="15377" width="9.33203125" customWidth="1"/>
    <col min="15378" max="15378" width="4" customWidth="1"/>
    <col min="15379" max="15379" width="2.88671875" customWidth="1"/>
    <col min="15380" max="15380" width="12.5546875" customWidth="1"/>
    <col min="15381" max="15381" width="1" customWidth="1"/>
    <col min="15382" max="15382" width="1.109375" customWidth="1"/>
    <col min="15383" max="15383" width="2.88671875" customWidth="1"/>
    <col min="15384" max="15384" width="9.88671875" customWidth="1"/>
    <col min="15385" max="15616" width="6.88671875" customWidth="1"/>
    <col min="15617" max="15617" width="3.109375" customWidth="1"/>
    <col min="15618" max="15618" width="21.109375" customWidth="1"/>
    <col min="15619" max="15619" width="7.44140625" customWidth="1"/>
    <col min="15620" max="15620" width="1.44140625" customWidth="1"/>
    <col min="15621" max="15621" width="11.88671875" customWidth="1"/>
    <col min="15622" max="15622" width="2.33203125" customWidth="1"/>
    <col min="15623" max="15623" width="11.33203125" customWidth="1"/>
    <col min="15624" max="15624" width="2" customWidth="1"/>
    <col min="15625" max="15625" width="12.88671875" customWidth="1"/>
    <col min="15626" max="15626" width="1.44140625" customWidth="1"/>
    <col min="15627" max="15627" width="11.5546875" customWidth="1"/>
    <col min="15628" max="15628" width="2.88671875" customWidth="1"/>
    <col min="15629" max="15629" width="1" customWidth="1"/>
    <col min="15630" max="15630" width="9.109375" customWidth="1"/>
    <col min="15631" max="15631" width="2.33203125" customWidth="1"/>
    <col min="15632" max="15632" width="2.109375" customWidth="1"/>
    <col min="15633" max="15633" width="9.33203125" customWidth="1"/>
    <col min="15634" max="15634" width="4" customWidth="1"/>
    <col min="15635" max="15635" width="2.88671875" customWidth="1"/>
    <col min="15636" max="15636" width="12.5546875" customWidth="1"/>
    <col min="15637" max="15637" width="1" customWidth="1"/>
    <col min="15638" max="15638" width="1.109375" customWidth="1"/>
    <col min="15639" max="15639" width="2.88671875" customWidth="1"/>
    <col min="15640" max="15640" width="9.88671875" customWidth="1"/>
    <col min="15641" max="15872" width="6.88671875" customWidth="1"/>
    <col min="15873" max="15873" width="3.109375" customWidth="1"/>
    <col min="15874" max="15874" width="21.109375" customWidth="1"/>
    <col min="15875" max="15875" width="7.44140625" customWidth="1"/>
    <col min="15876" max="15876" width="1.44140625" customWidth="1"/>
    <col min="15877" max="15877" width="11.88671875" customWidth="1"/>
    <col min="15878" max="15878" width="2.33203125" customWidth="1"/>
    <col min="15879" max="15879" width="11.33203125" customWidth="1"/>
    <col min="15880" max="15880" width="2" customWidth="1"/>
    <col min="15881" max="15881" width="12.88671875" customWidth="1"/>
    <col min="15882" max="15882" width="1.44140625" customWidth="1"/>
    <col min="15883" max="15883" width="11.5546875" customWidth="1"/>
    <col min="15884" max="15884" width="2.88671875" customWidth="1"/>
    <col min="15885" max="15885" width="1" customWidth="1"/>
    <col min="15886" max="15886" width="9.109375" customWidth="1"/>
    <col min="15887" max="15887" width="2.33203125" customWidth="1"/>
    <col min="15888" max="15888" width="2.109375" customWidth="1"/>
    <col min="15889" max="15889" width="9.33203125" customWidth="1"/>
    <col min="15890" max="15890" width="4" customWidth="1"/>
    <col min="15891" max="15891" width="2.88671875" customWidth="1"/>
    <col min="15892" max="15892" width="12.5546875" customWidth="1"/>
    <col min="15893" max="15893" width="1" customWidth="1"/>
    <col min="15894" max="15894" width="1.109375" customWidth="1"/>
    <col min="15895" max="15895" width="2.88671875" customWidth="1"/>
    <col min="15896" max="15896" width="9.88671875" customWidth="1"/>
    <col min="15897" max="16128" width="6.88671875" customWidth="1"/>
    <col min="16129" max="16129" width="3.109375" customWidth="1"/>
    <col min="16130" max="16130" width="21.109375" customWidth="1"/>
    <col min="16131" max="16131" width="7.44140625" customWidth="1"/>
    <col min="16132" max="16132" width="1.44140625" customWidth="1"/>
    <col min="16133" max="16133" width="11.88671875" customWidth="1"/>
    <col min="16134" max="16134" width="2.33203125" customWidth="1"/>
    <col min="16135" max="16135" width="11.33203125" customWidth="1"/>
    <col min="16136" max="16136" width="2" customWidth="1"/>
    <col min="16137" max="16137" width="12.88671875" customWidth="1"/>
    <col min="16138" max="16138" width="1.44140625" customWidth="1"/>
    <col min="16139" max="16139" width="11.5546875" customWidth="1"/>
    <col min="16140" max="16140" width="2.88671875" customWidth="1"/>
    <col min="16141" max="16141" width="1" customWidth="1"/>
    <col min="16142" max="16142" width="9.109375" customWidth="1"/>
    <col min="16143" max="16143" width="2.33203125" customWidth="1"/>
    <col min="16144" max="16144" width="2.109375" customWidth="1"/>
    <col min="16145" max="16145" width="9.33203125" customWidth="1"/>
    <col min="16146" max="16146" width="4" customWidth="1"/>
    <col min="16147" max="16147" width="2.88671875" customWidth="1"/>
    <col min="16148" max="16148" width="12.5546875" customWidth="1"/>
    <col min="16149" max="16149" width="1" customWidth="1"/>
    <col min="16150" max="16150" width="1.109375" customWidth="1"/>
    <col min="16151" max="16151" width="2.88671875" customWidth="1"/>
    <col min="16152" max="16152" width="9.88671875" customWidth="1"/>
    <col min="16153" max="16384" width="6.88671875" customWidth="1"/>
  </cols>
  <sheetData>
    <row r="1" spans="1:24" ht="6" customHeight="1"/>
    <row r="2" spans="1:24" ht="18.75" customHeight="1">
      <c r="R2" s="608" t="s">
        <v>686</v>
      </c>
      <c r="S2" s="608"/>
      <c r="T2" s="608"/>
      <c r="U2" s="608"/>
      <c r="V2" s="608"/>
      <c r="W2" s="608"/>
    </row>
    <row r="3" spans="1:24" ht="24" customHeight="1">
      <c r="A3" s="609" t="s">
        <v>687</v>
      </c>
      <c r="B3" s="609"/>
      <c r="C3" s="609"/>
      <c r="D3" s="609"/>
      <c r="E3" s="609"/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</row>
    <row r="4" spans="1:24" ht="24" customHeight="1">
      <c r="A4" s="609" t="s">
        <v>688</v>
      </c>
      <c r="B4" s="609"/>
      <c r="C4" s="609"/>
      <c r="D4" s="609"/>
      <c r="E4" s="609"/>
      <c r="F4" s="609"/>
      <c r="G4" s="609"/>
      <c r="H4" s="609"/>
      <c r="I4" s="609"/>
      <c r="J4" s="609"/>
      <c r="K4" s="609"/>
      <c r="L4" s="609"/>
      <c r="M4" s="609"/>
      <c r="N4" s="609"/>
      <c r="O4" s="609"/>
      <c r="P4" s="609"/>
      <c r="Q4" s="609"/>
      <c r="R4" s="609"/>
      <c r="S4" s="609"/>
      <c r="T4" s="609"/>
      <c r="U4" s="609"/>
      <c r="V4" s="609"/>
      <c r="W4" s="609"/>
    </row>
    <row r="5" spans="1:24" ht="24" customHeight="1">
      <c r="A5" s="609" t="s">
        <v>689</v>
      </c>
      <c r="B5" s="609"/>
      <c r="C5" s="609"/>
      <c r="D5" s="609"/>
      <c r="E5" s="609"/>
      <c r="F5" s="609"/>
      <c r="G5" s="609"/>
      <c r="H5" s="609"/>
      <c r="I5" s="609"/>
      <c r="J5" s="609"/>
      <c r="K5" s="609"/>
      <c r="L5" s="609"/>
      <c r="M5" s="609"/>
      <c r="N5" s="609"/>
      <c r="O5" s="609"/>
      <c r="P5" s="609"/>
      <c r="Q5" s="609"/>
      <c r="R5" s="609"/>
      <c r="S5" s="609"/>
      <c r="T5" s="609"/>
      <c r="U5" s="609"/>
      <c r="V5" s="609"/>
      <c r="W5" s="609"/>
    </row>
    <row r="6" spans="1:24" ht="20.25" customHeight="1"/>
    <row r="7" spans="1:24" ht="12" customHeight="1">
      <c r="A7" s="607" t="s">
        <v>690</v>
      </c>
      <c r="B7" s="607"/>
      <c r="C7" s="607"/>
      <c r="E7" s="607" t="s">
        <v>691</v>
      </c>
      <c r="F7" s="607" t="s">
        <v>692</v>
      </c>
      <c r="G7" s="607"/>
      <c r="H7" s="607" t="s">
        <v>693</v>
      </c>
      <c r="I7" s="607"/>
      <c r="K7" s="607" t="s">
        <v>694</v>
      </c>
      <c r="L7" s="607"/>
      <c r="N7" s="607" t="s">
        <v>695</v>
      </c>
      <c r="Q7" s="607" t="s">
        <v>696</v>
      </c>
      <c r="R7" s="607"/>
      <c r="T7" s="607" t="s">
        <v>697</v>
      </c>
      <c r="W7" s="607" t="s">
        <v>698</v>
      </c>
      <c r="X7" s="607"/>
    </row>
    <row r="8" spans="1:24" ht="12" customHeight="1">
      <c r="A8" s="607"/>
      <c r="B8" s="607"/>
      <c r="C8" s="607"/>
      <c r="E8" s="607"/>
      <c r="F8" s="607"/>
      <c r="G8" s="607"/>
      <c r="H8" s="607"/>
      <c r="I8" s="607"/>
      <c r="K8" s="607"/>
      <c r="L8" s="607"/>
      <c r="N8" s="607"/>
      <c r="Q8" s="607"/>
      <c r="R8" s="607"/>
      <c r="T8" s="607"/>
      <c r="W8" s="607"/>
      <c r="X8" s="607"/>
    </row>
    <row r="9" spans="1:24" ht="16.5" customHeight="1">
      <c r="A9" s="607"/>
      <c r="B9" s="607"/>
      <c r="C9" s="607"/>
      <c r="E9" s="607"/>
      <c r="F9" s="607"/>
      <c r="G9" s="607"/>
      <c r="H9" s="607"/>
      <c r="I9" s="607"/>
      <c r="K9" s="607"/>
      <c r="L9" s="607"/>
      <c r="N9" s="607"/>
      <c r="Q9" s="607"/>
      <c r="R9" s="607"/>
      <c r="T9" s="607"/>
      <c r="W9" s="607"/>
      <c r="X9" s="607"/>
    </row>
    <row r="10" spans="1:24" ht="6" customHeight="1"/>
    <row r="11" spans="1:24" ht="14.25" hidden="1" customHeight="1">
      <c r="B11" s="598" t="s">
        <v>699</v>
      </c>
      <c r="C11" s="598"/>
      <c r="E11" s="567">
        <v>347692</v>
      </c>
      <c r="G11" s="567">
        <v>347692</v>
      </c>
      <c r="I11" s="567">
        <v>347692</v>
      </c>
    </row>
    <row r="12" spans="1:24" ht="14.25" hidden="1" customHeight="1">
      <c r="B12" s="598"/>
      <c r="C12" s="598"/>
    </row>
    <row r="13" spans="1:24" ht="14.25" hidden="1" customHeight="1">
      <c r="B13" s="598" t="s">
        <v>700</v>
      </c>
      <c r="C13" s="598"/>
      <c r="E13" s="567">
        <v>1</v>
      </c>
      <c r="G13" s="567">
        <v>1</v>
      </c>
      <c r="I13" s="567">
        <v>1</v>
      </c>
    </row>
    <row r="14" spans="1:24" ht="14.25" hidden="1" customHeight="1">
      <c r="B14" s="598"/>
      <c r="C14" s="598"/>
    </row>
    <row r="15" spans="1:24" ht="14.25" hidden="1" customHeight="1">
      <c r="B15" s="598" t="s">
        <v>701</v>
      </c>
      <c r="C15" s="598"/>
      <c r="E15" s="567">
        <v>2028983</v>
      </c>
      <c r="G15" s="567">
        <v>2028983</v>
      </c>
      <c r="I15" s="567">
        <v>2028983</v>
      </c>
    </row>
    <row r="16" spans="1:24" ht="14.25" hidden="1" customHeight="1">
      <c r="B16" s="598"/>
      <c r="C16" s="598"/>
    </row>
    <row r="17" spans="2:24" ht="14.25" hidden="1" customHeight="1">
      <c r="B17" s="598" t="s">
        <v>702</v>
      </c>
      <c r="C17" s="598"/>
      <c r="E17" s="567">
        <v>567453</v>
      </c>
      <c r="G17" s="567">
        <v>567453</v>
      </c>
      <c r="I17" s="567">
        <v>567453</v>
      </c>
    </row>
    <row r="18" spans="2:24" ht="14.25" hidden="1" customHeight="1">
      <c r="B18" s="598"/>
      <c r="C18" s="598"/>
    </row>
    <row r="19" spans="2:24" ht="14.25" customHeight="1">
      <c r="B19" s="598" t="s">
        <v>703</v>
      </c>
      <c r="C19" s="598"/>
      <c r="E19" s="567">
        <v>164286</v>
      </c>
      <c r="G19" s="567">
        <v>161923</v>
      </c>
      <c r="I19" s="567">
        <v>161923</v>
      </c>
      <c r="Q19" s="599">
        <v>2363</v>
      </c>
      <c r="R19" s="599"/>
      <c r="T19" s="599">
        <v>2363</v>
      </c>
      <c r="U19" s="599"/>
      <c r="W19" s="599">
        <v>2363</v>
      </c>
      <c r="X19" s="599"/>
    </row>
    <row r="20" spans="2:24" ht="14.25" customHeight="1">
      <c r="B20" s="598"/>
      <c r="C20" s="598"/>
    </row>
    <row r="21" spans="2:24" ht="14.25" hidden="1" customHeight="1">
      <c r="B21" s="598" t="s">
        <v>704</v>
      </c>
      <c r="C21" s="598"/>
      <c r="E21" s="567">
        <v>79507</v>
      </c>
      <c r="G21" s="567">
        <v>79507</v>
      </c>
      <c r="I21" s="567">
        <v>79507</v>
      </c>
    </row>
    <row r="22" spans="2:24" ht="14.25" hidden="1" customHeight="1">
      <c r="B22" s="598"/>
      <c r="C22" s="598"/>
    </row>
    <row r="23" spans="2:24" ht="14.25" hidden="1" customHeight="1">
      <c r="B23" s="598" t="s">
        <v>705</v>
      </c>
      <c r="C23" s="598"/>
      <c r="E23" s="567">
        <v>292236</v>
      </c>
      <c r="G23" s="567">
        <v>292236</v>
      </c>
      <c r="I23" s="567">
        <v>292236</v>
      </c>
    </row>
    <row r="24" spans="2:24" ht="14.25" hidden="1" customHeight="1">
      <c r="B24" s="598"/>
      <c r="C24" s="598"/>
    </row>
    <row r="25" spans="2:24" ht="14.25" customHeight="1">
      <c r="B25" s="598" t="s">
        <v>706</v>
      </c>
      <c r="C25" s="598"/>
      <c r="E25" s="567">
        <v>71498</v>
      </c>
      <c r="G25" s="567">
        <v>66593</v>
      </c>
      <c r="I25" s="567">
        <v>66721</v>
      </c>
      <c r="Q25" s="599">
        <v>4777</v>
      </c>
      <c r="R25" s="599"/>
      <c r="T25" s="599">
        <v>4777</v>
      </c>
      <c r="U25" s="599"/>
      <c r="W25" s="599">
        <v>4777</v>
      </c>
      <c r="X25" s="599"/>
    </row>
    <row r="26" spans="2:24" ht="14.25" customHeight="1">
      <c r="B26" s="598"/>
      <c r="C26" s="598"/>
    </row>
    <row r="27" spans="2:24" ht="14.25" hidden="1" customHeight="1">
      <c r="B27" s="598" t="s">
        <v>707</v>
      </c>
      <c r="C27" s="598"/>
      <c r="E27" s="567">
        <v>4369</v>
      </c>
      <c r="G27" s="567">
        <v>4360</v>
      </c>
      <c r="I27" s="567">
        <v>4369</v>
      </c>
    </row>
    <row r="28" spans="2:24" ht="14.25" hidden="1" customHeight="1">
      <c r="B28" s="598"/>
      <c r="C28" s="598"/>
    </row>
    <row r="29" spans="2:24" ht="14.25" hidden="1" customHeight="1">
      <c r="B29" s="598" t="s">
        <v>708</v>
      </c>
      <c r="C29" s="598"/>
      <c r="E29" s="567">
        <v>96884</v>
      </c>
      <c r="G29" s="567">
        <v>96884</v>
      </c>
      <c r="I29" s="567">
        <v>96884</v>
      </c>
    </row>
    <row r="30" spans="2:24" ht="14.25" hidden="1" customHeight="1">
      <c r="B30" s="598"/>
      <c r="C30" s="598"/>
    </row>
    <row r="31" spans="2:24" ht="14.25" customHeight="1">
      <c r="B31" s="598" t="s">
        <v>709</v>
      </c>
      <c r="C31" s="598"/>
      <c r="E31" s="567">
        <v>1097365</v>
      </c>
      <c r="G31" s="567">
        <v>1016041</v>
      </c>
      <c r="I31" s="567">
        <v>1016041</v>
      </c>
      <c r="Q31" s="599">
        <v>81324</v>
      </c>
      <c r="R31" s="599"/>
      <c r="T31" s="599">
        <v>81324</v>
      </c>
      <c r="U31" s="599"/>
      <c r="W31" s="599">
        <v>81324</v>
      </c>
      <c r="X31" s="599"/>
    </row>
    <row r="32" spans="2:24" ht="14.25" customHeight="1">
      <c r="B32" s="598"/>
      <c r="C32" s="598"/>
    </row>
    <row r="33" spans="2:24" ht="14.25" customHeight="1">
      <c r="B33" s="598" t="s">
        <v>710</v>
      </c>
      <c r="C33" s="598"/>
      <c r="E33" s="567">
        <v>120935</v>
      </c>
      <c r="G33" s="567">
        <v>114912</v>
      </c>
      <c r="I33" s="567">
        <v>114912</v>
      </c>
      <c r="Q33" s="599">
        <v>6023</v>
      </c>
      <c r="R33" s="599"/>
      <c r="T33" s="599">
        <v>6023</v>
      </c>
      <c r="U33" s="599"/>
      <c r="W33" s="599">
        <v>6023</v>
      </c>
      <c r="X33" s="599"/>
    </row>
    <row r="34" spans="2:24" ht="14.25" customHeight="1">
      <c r="B34" s="598"/>
      <c r="C34" s="598"/>
    </row>
    <row r="35" spans="2:24" ht="14.25" hidden="1" customHeight="1">
      <c r="B35" s="598" t="s">
        <v>711</v>
      </c>
      <c r="C35" s="598"/>
      <c r="E35" s="567">
        <v>13300</v>
      </c>
      <c r="G35" s="567">
        <v>13300</v>
      </c>
      <c r="I35" s="567">
        <v>13300</v>
      </c>
    </row>
    <row r="36" spans="2:24" ht="14.25" hidden="1" customHeight="1">
      <c r="B36" s="598"/>
      <c r="C36" s="598"/>
    </row>
    <row r="37" spans="2:24" ht="14.25" hidden="1" customHeight="1">
      <c r="B37" s="598" t="s">
        <v>712</v>
      </c>
      <c r="C37" s="598"/>
      <c r="E37" s="567">
        <v>29925</v>
      </c>
      <c r="G37" s="567">
        <v>29925</v>
      </c>
      <c r="I37" s="567">
        <v>29925</v>
      </c>
    </row>
    <row r="38" spans="2:24" ht="14.25" hidden="1" customHeight="1">
      <c r="B38" s="598"/>
      <c r="C38" s="598"/>
    </row>
    <row r="39" spans="2:24" ht="14.25" hidden="1" customHeight="1">
      <c r="B39" s="598" t="s">
        <v>713</v>
      </c>
      <c r="C39" s="598"/>
      <c r="E39" s="567">
        <v>133475</v>
      </c>
      <c r="G39" s="567">
        <v>133475</v>
      </c>
      <c r="I39" s="567">
        <v>133475</v>
      </c>
    </row>
    <row r="40" spans="2:24" ht="14.25" hidden="1" customHeight="1">
      <c r="B40" s="598"/>
      <c r="C40" s="598"/>
    </row>
    <row r="41" spans="2:24" ht="14.25" hidden="1" customHeight="1">
      <c r="B41" s="598" t="s">
        <v>714</v>
      </c>
      <c r="C41" s="598"/>
      <c r="E41" s="567">
        <v>115609</v>
      </c>
      <c r="G41" s="567">
        <v>115609</v>
      </c>
      <c r="I41" s="567">
        <v>115609</v>
      </c>
    </row>
    <row r="42" spans="2:24" ht="14.25" hidden="1" customHeight="1">
      <c r="B42" s="598"/>
      <c r="C42" s="598"/>
    </row>
    <row r="43" spans="2:24" ht="14.25" hidden="1" customHeight="1">
      <c r="B43" s="598" t="s">
        <v>715</v>
      </c>
      <c r="C43" s="598"/>
      <c r="E43" s="567">
        <v>28700</v>
      </c>
      <c r="G43" s="567">
        <v>28700</v>
      </c>
      <c r="I43" s="567">
        <v>28700</v>
      </c>
    </row>
    <row r="44" spans="2:24" ht="14.25" hidden="1" customHeight="1">
      <c r="B44" s="598"/>
      <c r="C44" s="598"/>
    </row>
    <row r="45" spans="2:24" ht="14.25" hidden="1" customHeight="1">
      <c r="B45" s="598" t="s">
        <v>716</v>
      </c>
      <c r="C45" s="598"/>
      <c r="E45" s="567">
        <v>62577</v>
      </c>
      <c r="G45" s="567">
        <v>61553</v>
      </c>
      <c r="I45" s="567">
        <v>62577</v>
      </c>
    </row>
    <row r="46" spans="2:24" ht="14.25" hidden="1" customHeight="1">
      <c r="B46" s="598"/>
      <c r="C46" s="598"/>
    </row>
    <row r="47" spans="2:24" ht="14.25" hidden="1" customHeight="1">
      <c r="B47" s="598" t="s">
        <v>717</v>
      </c>
      <c r="C47" s="598"/>
      <c r="E47" s="567">
        <v>50057</v>
      </c>
      <c r="G47" s="567">
        <v>49164</v>
      </c>
      <c r="I47" s="567">
        <v>50057</v>
      </c>
    </row>
    <row r="48" spans="2:24" ht="14.25" hidden="1" customHeight="1">
      <c r="B48" s="598"/>
      <c r="C48" s="598"/>
    </row>
    <row r="49" spans="2:24" ht="14.25" customHeight="1">
      <c r="B49" s="598" t="s">
        <v>718</v>
      </c>
      <c r="C49" s="598"/>
      <c r="E49" s="567">
        <v>39247</v>
      </c>
      <c r="G49" s="567">
        <v>34947</v>
      </c>
      <c r="I49" s="567">
        <v>35668</v>
      </c>
      <c r="Q49" s="599">
        <v>3579</v>
      </c>
      <c r="R49" s="599"/>
      <c r="T49" s="599">
        <v>3579</v>
      </c>
      <c r="U49" s="599"/>
      <c r="W49" s="599">
        <v>3579</v>
      </c>
      <c r="X49" s="599"/>
    </row>
    <row r="50" spans="2:24" ht="14.25" customHeight="1">
      <c r="B50" s="598"/>
      <c r="C50" s="598"/>
    </row>
    <row r="51" spans="2:24" ht="14.25" hidden="1" customHeight="1">
      <c r="B51" s="598" t="s">
        <v>719</v>
      </c>
      <c r="C51" s="598"/>
      <c r="E51" s="567">
        <v>27047</v>
      </c>
      <c r="G51" s="567">
        <v>26542</v>
      </c>
      <c r="I51" s="567">
        <v>27047</v>
      </c>
    </row>
    <row r="52" spans="2:24" ht="14.25" hidden="1" customHeight="1">
      <c r="B52" s="598"/>
      <c r="C52" s="598"/>
    </row>
    <row r="53" spans="2:24" ht="14.25" hidden="1" customHeight="1">
      <c r="B53" s="598" t="s">
        <v>720</v>
      </c>
      <c r="C53" s="598"/>
      <c r="E53" s="567">
        <v>51647</v>
      </c>
      <c r="G53" s="567">
        <v>50745</v>
      </c>
      <c r="I53" s="567">
        <v>51647</v>
      </c>
    </row>
    <row r="54" spans="2:24" ht="14.25" hidden="1" customHeight="1">
      <c r="B54" s="598"/>
      <c r="C54" s="598"/>
    </row>
    <row r="55" spans="2:24" ht="14.25" hidden="1" customHeight="1">
      <c r="B55" s="598" t="s">
        <v>721</v>
      </c>
      <c r="C55" s="598"/>
      <c r="E55" s="567">
        <v>243426</v>
      </c>
      <c r="G55" s="567">
        <v>215302</v>
      </c>
      <c r="I55" s="567">
        <v>243426</v>
      </c>
    </row>
    <row r="56" spans="2:24" ht="14.25" hidden="1" customHeight="1">
      <c r="B56" s="598"/>
      <c r="C56" s="598"/>
    </row>
    <row r="57" spans="2:24" ht="14.25" hidden="1" customHeight="1">
      <c r="B57" s="598" t="s">
        <v>722</v>
      </c>
      <c r="C57" s="598"/>
      <c r="E57" s="567">
        <v>23000</v>
      </c>
      <c r="G57" s="567">
        <v>23000</v>
      </c>
      <c r="I57" s="567">
        <v>23000</v>
      </c>
    </row>
    <row r="58" spans="2:24" ht="14.25" hidden="1" customHeight="1">
      <c r="B58" s="598"/>
      <c r="C58" s="598"/>
    </row>
    <row r="59" spans="2:24" ht="14.25" customHeight="1">
      <c r="B59" s="598" t="s">
        <v>723</v>
      </c>
      <c r="C59" s="598"/>
      <c r="E59" s="567">
        <v>13166029</v>
      </c>
      <c r="G59" s="567">
        <v>12782791</v>
      </c>
      <c r="I59" s="567">
        <v>12840592</v>
      </c>
      <c r="Q59" s="599">
        <v>325437</v>
      </c>
      <c r="R59" s="599"/>
      <c r="T59" s="599">
        <v>325437</v>
      </c>
      <c r="U59" s="599"/>
      <c r="W59" s="599">
        <v>325437</v>
      </c>
      <c r="X59" s="599"/>
    </row>
    <row r="60" spans="2:24" ht="14.25" customHeight="1">
      <c r="B60" s="598"/>
      <c r="C60" s="598"/>
    </row>
    <row r="61" spans="2:24" ht="14.25" customHeight="1">
      <c r="B61" s="598" t="s">
        <v>724</v>
      </c>
      <c r="C61" s="598"/>
      <c r="E61" s="567">
        <v>96185</v>
      </c>
      <c r="I61" s="567">
        <v>21345</v>
      </c>
      <c r="Q61" s="599">
        <v>74840</v>
      </c>
      <c r="R61" s="599"/>
      <c r="T61" s="599">
        <v>74840</v>
      </c>
      <c r="U61" s="599"/>
      <c r="W61" s="599">
        <v>74840</v>
      </c>
      <c r="X61" s="599"/>
    </row>
    <row r="62" spans="2:24" ht="14.25" customHeight="1">
      <c r="B62" s="598"/>
      <c r="C62" s="598"/>
    </row>
    <row r="63" spans="2:24" ht="14.25" customHeight="1">
      <c r="B63" s="598" t="s">
        <v>725</v>
      </c>
      <c r="C63" s="598"/>
      <c r="E63" s="567">
        <v>67885</v>
      </c>
      <c r="G63" s="567">
        <v>7880</v>
      </c>
      <c r="I63" s="567">
        <v>7880</v>
      </c>
      <c r="Q63" s="599">
        <v>60005</v>
      </c>
      <c r="R63" s="599"/>
      <c r="T63" s="599">
        <v>60005</v>
      </c>
      <c r="U63" s="599"/>
      <c r="W63" s="599">
        <v>60005</v>
      </c>
      <c r="X63" s="599"/>
    </row>
    <row r="64" spans="2:24" ht="14.25" customHeight="1">
      <c r="B64" s="598"/>
      <c r="C64" s="598"/>
    </row>
    <row r="65" spans="2:24" ht="14.25" customHeight="1">
      <c r="B65" s="598" t="s">
        <v>726</v>
      </c>
      <c r="C65" s="598"/>
      <c r="E65" s="567">
        <v>373670</v>
      </c>
      <c r="G65" s="567">
        <v>130655</v>
      </c>
      <c r="I65" s="567">
        <v>333022</v>
      </c>
      <c r="Q65" s="599">
        <v>40648</v>
      </c>
      <c r="R65" s="599"/>
      <c r="T65" s="599">
        <v>40648</v>
      </c>
      <c r="U65" s="599"/>
      <c r="W65" s="599">
        <v>40648</v>
      </c>
      <c r="X65" s="599"/>
    </row>
    <row r="66" spans="2:24" ht="14.25" customHeight="1">
      <c r="B66" s="598"/>
      <c r="C66" s="598"/>
    </row>
    <row r="67" spans="2:24" ht="14.25" customHeight="1">
      <c r="B67" s="598" t="s">
        <v>727</v>
      </c>
      <c r="C67" s="598"/>
      <c r="E67" s="567">
        <v>130893</v>
      </c>
      <c r="G67" s="567">
        <v>28429</v>
      </c>
      <c r="I67" s="567">
        <v>130893</v>
      </c>
    </row>
    <row r="68" spans="2:24" ht="14.25" customHeight="1">
      <c r="B68" s="598"/>
      <c r="C68" s="598"/>
    </row>
    <row r="69" spans="2:24" ht="14.25" customHeight="1">
      <c r="B69" s="598" t="s">
        <v>728</v>
      </c>
      <c r="C69" s="598"/>
      <c r="E69" s="567">
        <v>60731265</v>
      </c>
      <c r="G69" s="567">
        <v>55118230</v>
      </c>
      <c r="I69" s="567">
        <v>55118547</v>
      </c>
      <c r="Q69" s="599">
        <v>5612718</v>
      </c>
      <c r="R69" s="599"/>
      <c r="T69" s="599">
        <v>5612718</v>
      </c>
      <c r="U69" s="599"/>
      <c r="W69" s="599">
        <v>5612718</v>
      </c>
      <c r="X69" s="599"/>
    </row>
    <row r="70" spans="2:24" ht="14.25" customHeight="1">
      <c r="B70" s="598"/>
      <c r="C70" s="598"/>
    </row>
    <row r="71" spans="2:24" ht="14.25" customHeight="1">
      <c r="B71" s="598" t="s">
        <v>729</v>
      </c>
      <c r="C71" s="598"/>
      <c r="E71" s="567">
        <v>1820092</v>
      </c>
      <c r="G71" s="567">
        <v>1820092</v>
      </c>
      <c r="I71" s="567">
        <v>1820092</v>
      </c>
    </row>
    <row r="72" spans="2:24" ht="14.25" customHeight="1">
      <c r="B72" s="598"/>
      <c r="C72" s="598"/>
    </row>
    <row r="73" spans="2:24" ht="14.25" customHeight="1">
      <c r="B73" s="598" t="s">
        <v>730</v>
      </c>
      <c r="C73" s="598"/>
      <c r="E73" s="567">
        <v>334275</v>
      </c>
      <c r="G73" s="567">
        <v>334275</v>
      </c>
      <c r="I73" s="567">
        <v>334275</v>
      </c>
    </row>
    <row r="74" spans="2:24" ht="14.25" customHeight="1">
      <c r="B74" s="598"/>
      <c r="C74" s="598"/>
    </row>
    <row r="75" spans="2:24" ht="14.25" customHeight="1">
      <c r="B75" s="598"/>
      <c r="C75" s="598"/>
    </row>
    <row r="76" spans="2:24" ht="14.25" customHeight="1">
      <c r="B76" s="598" t="s">
        <v>731</v>
      </c>
      <c r="C76" s="598"/>
      <c r="E76" s="567">
        <v>4679</v>
      </c>
      <c r="G76" s="567">
        <v>4679</v>
      </c>
      <c r="I76" s="567">
        <v>4679</v>
      </c>
    </row>
    <row r="77" spans="2:24" ht="14.25" customHeight="1">
      <c r="B77" s="598"/>
      <c r="C77" s="598"/>
    </row>
    <row r="78" spans="2:24" ht="14.25" customHeight="1">
      <c r="B78" s="598" t="s">
        <v>732</v>
      </c>
      <c r="C78" s="598"/>
      <c r="E78" s="567">
        <v>12150</v>
      </c>
      <c r="G78" s="567">
        <v>6150</v>
      </c>
      <c r="I78" s="567">
        <v>6150</v>
      </c>
      <c r="Q78" s="599">
        <v>6000</v>
      </c>
      <c r="R78" s="599"/>
      <c r="T78" s="599">
        <v>6000</v>
      </c>
      <c r="U78" s="599"/>
      <c r="W78" s="599">
        <v>6000</v>
      </c>
      <c r="X78" s="599"/>
    </row>
    <row r="79" spans="2:24" ht="14.25" customHeight="1">
      <c r="B79" s="598"/>
      <c r="C79" s="598"/>
    </row>
    <row r="80" spans="2:24" ht="14.25" customHeight="1">
      <c r="B80" s="598" t="s">
        <v>733</v>
      </c>
      <c r="C80" s="598"/>
      <c r="E80" s="567">
        <v>12672</v>
      </c>
      <c r="G80" s="567">
        <v>11463</v>
      </c>
      <c r="I80" s="567">
        <v>11463</v>
      </c>
      <c r="Q80" s="599">
        <v>1209</v>
      </c>
      <c r="R80" s="599"/>
      <c r="T80" s="599">
        <v>1209</v>
      </c>
      <c r="U80" s="599"/>
      <c r="W80" s="599">
        <v>1209</v>
      </c>
      <c r="X80" s="599"/>
    </row>
    <row r="81" spans="2:25" ht="14.25" customHeight="1">
      <c r="B81" s="598"/>
      <c r="C81" s="598"/>
    </row>
    <row r="82" spans="2:25" s="570" customFormat="1" ht="14.25" customHeight="1">
      <c r="B82" s="605" t="s">
        <v>734</v>
      </c>
      <c r="C82" s="605"/>
      <c r="E82" s="571">
        <v>21</v>
      </c>
      <c r="G82" s="571">
        <v>5</v>
      </c>
      <c r="I82" s="571">
        <v>5</v>
      </c>
      <c r="Q82" s="606">
        <v>16</v>
      </c>
      <c r="R82" s="606"/>
      <c r="T82" s="606">
        <v>16</v>
      </c>
      <c r="U82" s="606"/>
      <c r="W82" s="606">
        <v>16</v>
      </c>
      <c r="X82" s="606"/>
      <c r="Y82" s="573">
        <f>W82</f>
        <v>16</v>
      </c>
    </row>
    <row r="83" spans="2:25" s="570" customFormat="1" ht="14.25" customHeight="1">
      <c r="B83" s="605"/>
      <c r="C83" s="605"/>
      <c r="Y83" s="574"/>
    </row>
    <row r="84" spans="2:25" ht="14.25" customHeight="1">
      <c r="B84" s="598" t="s">
        <v>735</v>
      </c>
      <c r="C84" s="598"/>
      <c r="E84" s="567">
        <v>19000</v>
      </c>
      <c r="G84" s="567">
        <v>864</v>
      </c>
      <c r="I84" s="567">
        <v>864</v>
      </c>
      <c r="Q84" s="599">
        <v>18136</v>
      </c>
      <c r="R84" s="599"/>
      <c r="T84" s="599">
        <v>18136</v>
      </c>
      <c r="U84" s="599"/>
      <c r="W84" s="599">
        <v>18136</v>
      </c>
      <c r="X84" s="599"/>
    </row>
    <row r="85" spans="2:25" ht="14.25" customHeight="1">
      <c r="B85" s="598"/>
      <c r="C85" s="598"/>
    </row>
    <row r="86" spans="2:25" ht="14.25" customHeight="1">
      <c r="B86" s="598"/>
      <c r="C86" s="598"/>
    </row>
    <row r="87" spans="2:25" s="580" customFormat="1" ht="14.25" customHeight="1">
      <c r="B87" s="603" t="s">
        <v>736</v>
      </c>
      <c r="C87" s="603"/>
      <c r="E87" s="581">
        <v>1637912</v>
      </c>
      <c r="G87" s="581">
        <v>901339</v>
      </c>
      <c r="I87" s="581">
        <v>901339</v>
      </c>
      <c r="Q87" s="604">
        <v>736573</v>
      </c>
      <c r="R87" s="604"/>
      <c r="T87" s="604">
        <v>736573</v>
      </c>
      <c r="U87" s="604"/>
      <c r="W87" s="604">
        <v>736573</v>
      </c>
      <c r="X87" s="604"/>
      <c r="Y87" s="583">
        <f>W87</f>
        <v>736573</v>
      </c>
    </row>
    <row r="88" spans="2:25" s="580" customFormat="1" ht="14.25" customHeight="1">
      <c r="B88" s="603"/>
      <c r="C88" s="603"/>
      <c r="Y88" s="582"/>
    </row>
    <row r="89" spans="2:25" s="575" customFormat="1" ht="14.25" customHeight="1">
      <c r="B89" s="601" t="s">
        <v>737</v>
      </c>
      <c r="C89" s="601"/>
      <c r="E89" s="576">
        <v>641387</v>
      </c>
      <c r="G89" s="576">
        <v>38964</v>
      </c>
      <c r="I89" s="576">
        <v>38964</v>
      </c>
      <c r="Q89" s="602">
        <v>602423</v>
      </c>
      <c r="R89" s="602"/>
      <c r="T89" s="602">
        <v>602423</v>
      </c>
      <c r="U89" s="602"/>
      <c r="W89" s="602">
        <v>602423</v>
      </c>
      <c r="X89" s="602"/>
      <c r="Y89" s="577"/>
    </row>
    <row r="90" spans="2:25" s="575" customFormat="1" ht="14.25" customHeight="1">
      <c r="B90" s="601"/>
      <c r="C90" s="601"/>
      <c r="Y90" s="577"/>
    </row>
    <row r="91" spans="2:25" s="575" customFormat="1" ht="14.25" customHeight="1">
      <c r="B91" s="601" t="s">
        <v>738</v>
      </c>
      <c r="C91" s="601"/>
      <c r="E91" s="576">
        <v>800000</v>
      </c>
      <c r="Q91" s="602">
        <v>800000</v>
      </c>
      <c r="R91" s="602"/>
      <c r="T91" s="602">
        <v>800000</v>
      </c>
      <c r="U91" s="602"/>
      <c r="W91" s="602">
        <v>800000</v>
      </c>
      <c r="X91" s="602"/>
      <c r="Y91" s="577"/>
    </row>
    <row r="92" spans="2:25" s="575" customFormat="1" ht="14.25" customHeight="1">
      <c r="B92" s="601"/>
      <c r="C92" s="601"/>
      <c r="Y92" s="577"/>
    </row>
    <row r="93" spans="2:25" s="575" customFormat="1" ht="14.25" customHeight="1">
      <c r="B93" s="601" t="s">
        <v>739</v>
      </c>
      <c r="C93" s="601"/>
      <c r="E93" s="576">
        <v>60000</v>
      </c>
      <c r="Q93" s="602">
        <v>60000</v>
      </c>
      <c r="R93" s="602"/>
      <c r="T93" s="602">
        <v>60000</v>
      </c>
      <c r="U93" s="602"/>
      <c r="W93" s="602">
        <v>60000</v>
      </c>
      <c r="X93" s="602"/>
      <c r="Y93" s="577"/>
    </row>
    <row r="94" spans="2:25" s="575" customFormat="1" ht="14.25" customHeight="1">
      <c r="B94" s="601"/>
      <c r="C94" s="601"/>
      <c r="Y94" s="577"/>
    </row>
    <row r="95" spans="2:25" s="575" customFormat="1" ht="14.25" customHeight="1">
      <c r="B95" s="601" t="s">
        <v>740</v>
      </c>
      <c r="C95" s="601"/>
      <c r="E95" s="576">
        <v>165916</v>
      </c>
      <c r="G95" s="576">
        <v>10000</v>
      </c>
      <c r="I95" s="576">
        <v>10000</v>
      </c>
      <c r="Q95" s="602">
        <v>155916</v>
      </c>
      <c r="R95" s="602"/>
      <c r="T95" s="602">
        <v>155916</v>
      </c>
      <c r="U95" s="602"/>
      <c r="W95" s="602">
        <v>155916</v>
      </c>
      <c r="X95" s="602"/>
      <c r="Y95" s="577"/>
    </row>
    <row r="96" spans="2:25" s="575" customFormat="1" ht="14.25" customHeight="1">
      <c r="B96" s="601"/>
      <c r="C96" s="601"/>
      <c r="Y96" s="577"/>
    </row>
    <row r="97" spans="2:25" s="575" customFormat="1" ht="14.25" customHeight="1">
      <c r="B97" s="601" t="s">
        <v>741</v>
      </c>
      <c r="C97" s="601"/>
      <c r="E97" s="576">
        <v>300000</v>
      </c>
      <c r="Q97" s="602">
        <v>300000</v>
      </c>
      <c r="R97" s="602"/>
      <c r="T97" s="602">
        <v>300000</v>
      </c>
      <c r="U97" s="602"/>
      <c r="W97" s="602">
        <v>300000</v>
      </c>
      <c r="X97" s="602"/>
      <c r="Y97" s="577"/>
    </row>
    <row r="98" spans="2:25" s="575" customFormat="1" ht="14.25" customHeight="1">
      <c r="B98" s="601"/>
      <c r="C98" s="601"/>
      <c r="Y98" s="577"/>
    </row>
    <row r="99" spans="2:25" s="575" customFormat="1" ht="14.25" customHeight="1">
      <c r="B99" s="601"/>
      <c r="C99" s="601"/>
      <c r="Y99" s="577"/>
    </row>
    <row r="100" spans="2:25" s="575" customFormat="1" ht="14.25" customHeight="1">
      <c r="B100" s="601" t="s">
        <v>742</v>
      </c>
      <c r="C100" s="601"/>
      <c r="E100" s="576">
        <v>106604</v>
      </c>
      <c r="G100" s="576">
        <v>10000</v>
      </c>
      <c r="I100" s="576">
        <v>10000</v>
      </c>
      <c r="Q100" s="602">
        <v>96604</v>
      </c>
      <c r="R100" s="602"/>
      <c r="T100" s="602">
        <v>96604</v>
      </c>
      <c r="U100" s="602"/>
      <c r="W100" s="602">
        <v>96604</v>
      </c>
      <c r="X100" s="602"/>
      <c r="Y100" s="577"/>
    </row>
    <row r="101" spans="2:25" s="575" customFormat="1" ht="14.25" customHeight="1">
      <c r="B101" s="601"/>
      <c r="C101" s="601"/>
      <c r="Y101" s="577"/>
    </row>
    <row r="102" spans="2:25" s="575" customFormat="1" ht="14.25" customHeight="1">
      <c r="B102" s="601" t="s">
        <v>743</v>
      </c>
      <c r="C102" s="601"/>
      <c r="E102" s="576">
        <v>800000</v>
      </c>
      <c r="Q102" s="602">
        <v>800000</v>
      </c>
      <c r="R102" s="602"/>
      <c r="T102" s="602">
        <v>800000</v>
      </c>
      <c r="U102" s="602"/>
      <c r="W102" s="602">
        <v>800000</v>
      </c>
      <c r="X102" s="602"/>
      <c r="Y102" s="577"/>
    </row>
    <row r="103" spans="2:25" s="575" customFormat="1" ht="14.25" customHeight="1">
      <c r="B103" s="601"/>
      <c r="C103" s="601"/>
      <c r="Y103" s="577"/>
    </row>
    <row r="104" spans="2:25" s="575" customFormat="1" ht="14.25" customHeight="1">
      <c r="B104" s="601"/>
      <c r="C104" s="601"/>
      <c r="Y104" s="577"/>
    </row>
    <row r="105" spans="2:25" s="575" customFormat="1" ht="14.25" customHeight="1">
      <c r="B105" s="601" t="s">
        <v>744</v>
      </c>
      <c r="C105" s="601"/>
      <c r="E105" s="576">
        <v>24500</v>
      </c>
      <c r="G105" s="576">
        <v>11500</v>
      </c>
      <c r="I105" s="576">
        <v>11500</v>
      </c>
      <c r="Q105" s="602">
        <v>13000</v>
      </c>
      <c r="R105" s="602"/>
      <c r="T105" s="602">
        <v>13000</v>
      </c>
      <c r="U105" s="602"/>
      <c r="W105" s="602">
        <v>13000</v>
      </c>
      <c r="X105" s="602"/>
      <c r="Y105" s="577"/>
    </row>
    <row r="106" spans="2:25" s="575" customFormat="1" ht="14.25" customHeight="1">
      <c r="B106" s="601"/>
      <c r="C106" s="601"/>
      <c r="Y106" s="577"/>
    </row>
    <row r="107" spans="2:25" s="575" customFormat="1" ht="14.25" customHeight="1">
      <c r="B107" s="601"/>
      <c r="C107" s="601"/>
      <c r="Y107" s="577"/>
    </row>
    <row r="108" spans="2:25" s="575" customFormat="1" ht="14.25" customHeight="1">
      <c r="B108" s="601" t="s">
        <v>745</v>
      </c>
      <c r="C108" s="601"/>
      <c r="E108" s="576">
        <v>101134</v>
      </c>
      <c r="G108" s="576">
        <v>200</v>
      </c>
      <c r="I108" s="576">
        <v>200</v>
      </c>
      <c r="Q108" s="602">
        <v>100934</v>
      </c>
      <c r="R108" s="602"/>
      <c r="T108" s="602">
        <v>100934</v>
      </c>
      <c r="U108" s="602"/>
      <c r="W108" s="602">
        <v>100934</v>
      </c>
      <c r="X108" s="602"/>
      <c r="Y108" s="577"/>
    </row>
    <row r="109" spans="2:25" s="575" customFormat="1" ht="14.25" customHeight="1">
      <c r="B109" s="601"/>
      <c r="C109" s="601"/>
      <c r="Y109" s="577"/>
    </row>
    <row r="110" spans="2:25" s="575" customFormat="1" ht="14.25" customHeight="1">
      <c r="B110" s="601" t="s">
        <v>746</v>
      </c>
      <c r="C110" s="601"/>
      <c r="E110" s="576">
        <v>3800</v>
      </c>
      <c r="Q110" s="602">
        <v>3800</v>
      </c>
      <c r="R110" s="602"/>
      <c r="T110" s="602">
        <v>3800</v>
      </c>
      <c r="U110" s="602"/>
      <c r="W110" s="602">
        <v>3800</v>
      </c>
      <c r="X110" s="602"/>
      <c r="Y110" s="577"/>
    </row>
    <row r="111" spans="2:25" s="575" customFormat="1" ht="14.25" customHeight="1">
      <c r="B111" s="601"/>
      <c r="C111" s="601"/>
      <c r="Y111" s="577"/>
    </row>
    <row r="112" spans="2:25" s="575" customFormat="1" ht="14.25" customHeight="1">
      <c r="B112" s="601" t="s">
        <v>747</v>
      </c>
      <c r="C112" s="601"/>
      <c r="E112" s="576">
        <v>200000</v>
      </c>
      <c r="G112" s="576">
        <v>200000</v>
      </c>
      <c r="I112" s="576">
        <v>200000</v>
      </c>
      <c r="Y112" s="577"/>
    </row>
    <row r="113" spans="2:26" s="575" customFormat="1" ht="14.25" customHeight="1">
      <c r="B113" s="601"/>
      <c r="C113" s="601"/>
      <c r="Y113" s="578">
        <f>SUM(W89:X113)-Z113</f>
        <v>1032677</v>
      </c>
      <c r="Z113" s="579">
        <f>W91+W97+W102</f>
        <v>1900000</v>
      </c>
    </row>
    <row r="114" spans="2:26" ht="14.25" customHeight="1">
      <c r="B114" s="598" t="s">
        <v>748</v>
      </c>
      <c r="C114" s="598"/>
      <c r="E114" s="567">
        <v>280325</v>
      </c>
      <c r="G114" s="567">
        <v>280325</v>
      </c>
      <c r="I114" s="567">
        <v>280325</v>
      </c>
    </row>
    <row r="115" spans="2:26" ht="14.25" customHeight="1">
      <c r="B115" s="598"/>
      <c r="C115" s="598"/>
    </row>
    <row r="116" spans="2:26" ht="14.25" customHeight="1">
      <c r="B116" s="598" t="s">
        <v>749</v>
      </c>
      <c r="C116" s="598"/>
      <c r="E116" s="567">
        <v>104922</v>
      </c>
      <c r="G116" s="567">
        <v>104000</v>
      </c>
      <c r="I116" s="567">
        <v>104000</v>
      </c>
      <c r="Q116" s="599">
        <v>922</v>
      </c>
      <c r="R116" s="599"/>
      <c r="T116" s="599">
        <v>922</v>
      </c>
      <c r="U116" s="599"/>
      <c r="W116" s="599">
        <v>922</v>
      </c>
      <c r="X116" s="599"/>
    </row>
    <row r="117" spans="2:26" ht="14.25" customHeight="1">
      <c r="B117" s="598"/>
      <c r="C117" s="598"/>
    </row>
    <row r="118" spans="2:26" ht="14.25" customHeight="1">
      <c r="B118" s="598"/>
      <c r="C118" s="598"/>
    </row>
    <row r="119" spans="2:26" ht="14.25" customHeight="1">
      <c r="B119" s="598" t="s">
        <v>750</v>
      </c>
      <c r="C119" s="598"/>
      <c r="E119" s="567">
        <v>349185</v>
      </c>
      <c r="G119" s="567">
        <v>128597</v>
      </c>
      <c r="I119" s="567">
        <v>129237</v>
      </c>
      <c r="Q119" s="599">
        <v>219948</v>
      </c>
      <c r="R119" s="599"/>
      <c r="T119" s="599">
        <v>219948</v>
      </c>
      <c r="U119" s="599"/>
      <c r="W119" s="599">
        <v>219948</v>
      </c>
      <c r="X119" s="599"/>
    </row>
    <row r="120" spans="2:26" ht="14.25" customHeight="1">
      <c r="B120" s="598"/>
      <c r="C120" s="598"/>
    </row>
    <row r="121" spans="2:26" ht="14.25" customHeight="1">
      <c r="B121" s="598"/>
      <c r="C121" s="598"/>
    </row>
    <row r="122" spans="2:26" ht="14.25" customHeight="1">
      <c r="B122" s="598" t="s">
        <v>751</v>
      </c>
      <c r="C122" s="598"/>
      <c r="E122" s="567">
        <v>677179</v>
      </c>
      <c r="G122" s="567">
        <v>20000</v>
      </c>
      <c r="I122" s="567">
        <v>106011</v>
      </c>
      <c r="Q122" s="599">
        <v>571168</v>
      </c>
      <c r="R122" s="599"/>
      <c r="T122" s="599">
        <v>571168</v>
      </c>
      <c r="U122" s="599"/>
      <c r="W122" s="599">
        <v>571168</v>
      </c>
      <c r="X122" s="599"/>
    </row>
    <row r="123" spans="2:26" ht="14.25" customHeight="1">
      <c r="B123" s="598"/>
      <c r="C123" s="598"/>
    </row>
    <row r="124" spans="2:26" ht="14.25" customHeight="1">
      <c r="B124" s="598"/>
      <c r="C124" s="598"/>
    </row>
    <row r="125" spans="2:26" ht="14.25" customHeight="1">
      <c r="B125" s="598" t="s">
        <v>752</v>
      </c>
      <c r="C125" s="598"/>
      <c r="E125" s="567">
        <v>10000</v>
      </c>
      <c r="G125" s="567">
        <v>9413</v>
      </c>
      <c r="I125" s="567">
        <v>9413</v>
      </c>
      <c r="Q125" s="599">
        <v>587</v>
      </c>
      <c r="R125" s="599"/>
      <c r="T125" s="599">
        <v>587</v>
      </c>
      <c r="U125" s="599"/>
      <c r="W125" s="599">
        <v>587</v>
      </c>
      <c r="X125" s="599"/>
    </row>
    <row r="126" spans="2:26" ht="14.25" customHeight="1">
      <c r="B126" s="598"/>
      <c r="C126" s="598"/>
    </row>
    <row r="127" spans="2:26" ht="14.25" customHeight="1">
      <c r="B127" s="598"/>
      <c r="C127" s="598"/>
    </row>
    <row r="128" spans="2:26" ht="14.25" customHeight="1">
      <c r="B128" s="598" t="s">
        <v>753</v>
      </c>
      <c r="C128" s="598"/>
      <c r="E128" s="567">
        <v>200000</v>
      </c>
      <c r="Q128" s="599">
        <v>200000</v>
      </c>
      <c r="R128" s="599"/>
      <c r="T128" s="599">
        <v>200000</v>
      </c>
      <c r="U128" s="599"/>
      <c r="W128" s="599">
        <v>200000</v>
      </c>
      <c r="X128" s="599"/>
    </row>
    <row r="129" spans="2:24" ht="14.25" customHeight="1">
      <c r="B129" s="598"/>
      <c r="C129" s="598"/>
    </row>
    <row r="130" spans="2:24" ht="14.25" customHeight="1">
      <c r="B130" s="598"/>
      <c r="C130" s="598"/>
    </row>
    <row r="131" spans="2:24" ht="14.25" customHeight="1">
      <c r="B131" s="598" t="s">
        <v>754</v>
      </c>
      <c r="C131" s="598"/>
      <c r="E131" s="567">
        <v>20000</v>
      </c>
      <c r="Q131" s="599">
        <v>20000</v>
      </c>
      <c r="R131" s="599"/>
      <c r="T131" s="599">
        <v>20000</v>
      </c>
      <c r="U131" s="599"/>
      <c r="W131" s="599">
        <v>20000</v>
      </c>
      <c r="X131" s="599"/>
    </row>
    <row r="132" spans="2:24" ht="14.25" customHeight="1">
      <c r="B132" s="598"/>
      <c r="C132" s="598"/>
    </row>
    <row r="133" spans="2:24" ht="14.25" customHeight="1">
      <c r="B133" s="598" t="s">
        <v>755</v>
      </c>
      <c r="C133" s="598"/>
      <c r="E133" s="567">
        <v>20000</v>
      </c>
      <c r="Q133" s="599">
        <v>20000</v>
      </c>
      <c r="R133" s="599"/>
      <c r="T133" s="599">
        <v>20000</v>
      </c>
      <c r="U133" s="599"/>
      <c r="W133" s="599">
        <v>20000</v>
      </c>
      <c r="X133" s="599"/>
    </row>
    <row r="134" spans="2:24" ht="14.25" customHeight="1">
      <c r="B134" s="598"/>
      <c r="C134" s="598"/>
    </row>
    <row r="135" spans="2:24" ht="14.25" customHeight="1">
      <c r="B135" s="598" t="s">
        <v>756</v>
      </c>
      <c r="C135" s="598"/>
      <c r="E135" s="567">
        <v>20000</v>
      </c>
      <c r="G135" s="567">
        <v>20000</v>
      </c>
      <c r="I135" s="567">
        <v>20000</v>
      </c>
    </row>
    <row r="136" spans="2:24" ht="14.25" customHeight="1">
      <c r="B136" s="598"/>
      <c r="C136" s="598"/>
    </row>
    <row r="137" spans="2:24" ht="14.25" customHeight="1">
      <c r="B137" s="598"/>
      <c r="C137" s="598"/>
    </row>
    <row r="138" spans="2:24" ht="14.25" customHeight="1">
      <c r="B138" s="598" t="s">
        <v>757</v>
      </c>
      <c r="C138" s="598"/>
      <c r="E138" s="567">
        <v>2982053</v>
      </c>
      <c r="G138" s="567">
        <v>2982053</v>
      </c>
      <c r="I138" s="567">
        <v>2982053</v>
      </c>
    </row>
    <row r="139" spans="2:24" ht="14.25" customHeight="1">
      <c r="B139" s="598"/>
      <c r="C139" s="598"/>
    </row>
    <row r="140" spans="2:24" ht="14.25" customHeight="1">
      <c r="B140" s="598"/>
      <c r="C140" s="598"/>
    </row>
    <row r="141" spans="2:24" ht="14.25" customHeight="1">
      <c r="B141" s="598" t="s">
        <v>758</v>
      </c>
      <c r="C141" s="598"/>
      <c r="E141" s="567">
        <v>130000</v>
      </c>
      <c r="G141" s="567">
        <v>130000</v>
      </c>
      <c r="I141" s="567">
        <v>130000</v>
      </c>
    </row>
    <row r="142" spans="2:24" ht="14.25" customHeight="1">
      <c r="B142" s="598"/>
      <c r="C142" s="598"/>
    </row>
    <row r="143" spans="2:24" ht="14.25" customHeight="1">
      <c r="B143" s="598"/>
      <c r="C143" s="598"/>
    </row>
    <row r="144" spans="2:24" ht="14.25" customHeight="1">
      <c r="B144" s="598" t="s">
        <v>759</v>
      </c>
      <c r="C144" s="598"/>
      <c r="E144" s="567">
        <v>1800000</v>
      </c>
      <c r="Q144" s="599">
        <v>1800000</v>
      </c>
      <c r="R144" s="599"/>
      <c r="T144" s="599">
        <v>1800000</v>
      </c>
      <c r="U144" s="599"/>
      <c r="W144" s="599">
        <v>1800000</v>
      </c>
      <c r="X144" s="599"/>
    </row>
    <row r="145" spans="2:24" ht="14.25" customHeight="1">
      <c r="B145" s="598"/>
      <c r="C145" s="598"/>
    </row>
    <row r="146" spans="2:24" ht="14.25" customHeight="1">
      <c r="B146" s="598"/>
      <c r="C146" s="598"/>
    </row>
    <row r="147" spans="2:24" ht="14.25" customHeight="1">
      <c r="B147" s="598" t="s">
        <v>760</v>
      </c>
      <c r="C147" s="598"/>
      <c r="E147" s="567">
        <v>30000</v>
      </c>
      <c r="Q147" s="599">
        <v>30000</v>
      </c>
      <c r="R147" s="599"/>
      <c r="T147" s="599">
        <v>30000</v>
      </c>
      <c r="U147" s="599"/>
      <c r="W147" s="599">
        <v>30000</v>
      </c>
      <c r="X147" s="599"/>
    </row>
    <row r="148" spans="2:24" ht="14.25" customHeight="1">
      <c r="B148" s="598"/>
      <c r="C148" s="598"/>
    </row>
    <row r="149" spans="2:24" ht="14.25" customHeight="1">
      <c r="B149" s="598"/>
      <c r="C149" s="598"/>
    </row>
    <row r="150" spans="2:24" ht="14.25" customHeight="1">
      <c r="B150" s="598" t="s">
        <v>761</v>
      </c>
      <c r="C150" s="598"/>
      <c r="E150" s="567">
        <v>136850</v>
      </c>
      <c r="Q150" s="599">
        <v>136850</v>
      </c>
      <c r="R150" s="599"/>
      <c r="T150" s="599">
        <v>136850</v>
      </c>
      <c r="U150" s="599"/>
      <c r="W150" s="599">
        <v>136850</v>
      </c>
      <c r="X150" s="599"/>
    </row>
    <row r="151" spans="2:24" ht="14.25" customHeight="1">
      <c r="B151" s="598"/>
      <c r="C151" s="598"/>
    </row>
    <row r="152" spans="2:24" ht="14.25" customHeight="1">
      <c r="B152" s="598"/>
      <c r="C152" s="598"/>
    </row>
    <row r="153" spans="2:24" ht="14.25" customHeight="1">
      <c r="B153" s="598" t="s">
        <v>762</v>
      </c>
      <c r="C153" s="598"/>
      <c r="E153" s="567">
        <v>73638</v>
      </c>
      <c r="Q153" s="599">
        <v>73638</v>
      </c>
      <c r="R153" s="599"/>
      <c r="T153" s="599">
        <v>73638</v>
      </c>
      <c r="U153" s="599"/>
      <c r="W153" s="599">
        <v>73638</v>
      </c>
      <c r="X153" s="599"/>
    </row>
    <row r="154" spans="2:24" ht="14.25" customHeight="1">
      <c r="B154" s="598"/>
      <c r="C154" s="598"/>
    </row>
    <row r="155" spans="2:24" ht="14.25" customHeight="1">
      <c r="B155" s="598"/>
      <c r="C155" s="598"/>
    </row>
    <row r="156" spans="2:24" ht="14.25" customHeight="1">
      <c r="B156" s="598" t="s">
        <v>763</v>
      </c>
      <c r="C156" s="598"/>
      <c r="E156" s="567">
        <v>27000</v>
      </c>
      <c r="Q156" s="599">
        <v>27000</v>
      </c>
      <c r="R156" s="599"/>
      <c r="T156" s="599">
        <v>27000</v>
      </c>
      <c r="U156" s="599"/>
      <c r="W156" s="599">
        <v>27000</v>
      </c>
      <c r="X156" s="599"/>
    </row>
    <row r="157" spans="2:24" ht="14.25" customHeight="1">
      <c r="B157" s="598"/>
      <c r="C157" s="598"/>
    </row>
    <row r="158" spans="2:24" ht="14.25" customHeight="1">
      <c r="B158" s="598"/>
      <c r="C158" s="598"/>
    </row>
    <row r="159" spans="2:24" ht="14.25" customHeight="1">
      <c r="B159" s="598" t="s">
        <v>764</v>
      </c>
      <c r="C159" s="598"/>
      <c r="E159" s="567">
        <v>1242</v>
      </c>
      <c r="Q159" s="599">
        <v>1242</v>
      </c>
      <c r="R159" s="599"/>
      <c r="T159" s="599">
        <v>1242</v>
      </c>
      <c r="U159" s="599"/>
      <c r="W159" s="599">
        <v>1242</v>
      </c>
      <c r="X159" s="599"/>
    </row>
    <row r="160" spans="2:24" ht="14.25" customHeight="1">
      <c r="B160" s="598"/>
      <c r="C160" s="598"/>
    </row>
    <row r="161" spans="2:24" ht="14.25" customHeight="1">
      <c r="B161" s="598"/>
      <c r="C161" s="598"/>
    </row>
    <row r="162" spans="2:24" ht="14.25" customHeight="1">
      <c r="B162" s="598" t="s">
        <v>765</v>
      </c>
      <c r="C162" s="598"/>
      <c r="E162" s="567">
        <v>15840</v>
      </c>
      <c r="Q162" s="599">
        <v>15840</v>
      </c>
      <c r="R162" s="599"/>
      <c r="T162" s="599">
        <v>15840</v>
      </c>
      <c r="U162" s="599"/>
      <c r="W162" s="599">
        <v>15840</v>
      </c>
      <c r="X162" s="599"/>
    </row>
    <row r="163" spans="2:24" ht="14.25" customHeight="1">
      <c r="B163" s="598"/>
      <c r="C163" s="598"/>
    </row>
    <row r="164" spans="2:24" ht="14.25" customHeight="1">
      <c r="B164" s="598"/>
      <c r="C164" s="598"/>
    </row>
    <row r="165" spans="2:24" ht="14.25" customHeight="1">
      <c r="B165" s="598" t="s">
        <v>766</v>
      </c>
      <c r="C165" s="598"/>
      <c r="E165" s="567">
        <v>77052</v>
      </c>
      <c r="Q165" s="599">
        <v>77052</v>
      </c>
      <c r="R165" s="599"/>
      <c r="T165" s="599">
        <v>77052</v>
      </c>
      <c r="U165" s="599"/>
      <c r="W165" s="599">
        <v>77052</v>
      </c>
      <c r="X165" s="599"/>
    </row>
    <row r="166" spans="2:24" ht="14.25" customHeight="1">
      <c r="B166" s="598"/>
      <c r="C166" s="598"/>
    </row>
    <row r="167" spans="2:24" ht="14.25" customHeight="1">
      <c r="B167" s="598"/>
      <c r="C167" s="598"/>
    </row>
    <row r="168" spans="2:24" ht="14.25" customHeight="1">
      <c r="B168" s="598" t="s">
        <v>767</v>
      </c>
      <c r="C168" s="598"/>
      <c r="E168" s="567">
        <v>7940</v>
      </c>
      <c r="Q168" s="599">
        <v>7940</v>
      </c>
      <c r="R168" s="599"/>
      <c r="T168" s="599">
        <v>7940</v>
      </c>
      <c r="U168" s="599"/>
      <c r="W168" s="599">
        <v>7940</v>
      </c>
      <c r="X168" s="599"/>
    </row>
    <row r="169" spans="2:24" ht="14.25" customHeight="1">
      <c r="B169" s="598"/>
      <c r="C169" s="598"/>
    </row>
    <row r="170" spans="2:24" ht="14.25" customHeight="1">
      <c r="B170" s="598"/>
      <c r="C170" s="598"/>
    </row>
    <row r="171" spans="2:24" ht="14.25" customHeight="1">
      <c r="B171" s="598" t="s">
        <v>768</v>
      </c>
      <c r="C171" s="598"/>
      <c r="E171" s="567">
        <v>78598</v>
      </c>
      <c r="Q171" s="599">
        <v>78598</v>
      </c>
      <c r="R171" s="599"/>
      <c r="T171" s="599">
        <v>78598</v>
      </c>
      <c r="U171" s="599"/>
      <c r="W171" s="599">
        <v>78598</v>
      </c>
      <c r="X171" s="599"/>
    </row>
    <row r="172" spans="2:24" ht="14.25" customHeight="1">
      <c r="B172" s="598"/>
      <c r="C172" s="598"/>
    </row>
    <row r="173" spans="2:24" ht="14.25" customHeight="1">
      <c r="B173" s="598"/>
      <c r="C173" s="598"/>
    </row>
    <row r="174" spans="2:24" ht="12" customHeight="1">
      <c r="B174" s="568" t="s">
        <v>769</v>
      </c>
      <c r="E174" s="569">
        <v>94341112</v>
      </c>
      <c r="G174" s="569">
        <v>80650751</v>
      </c>
      <c r="I174" s="569">
        <v>81154002</v>
      </c>
      <c r="Q174" s="600">
        <v>13187110</v>
      </c>
      <c r="R174" s="600"/>
      <c r="T174" s="600">
        <v>13187110</v>
      </c>
      <c r="U174" s="600"/>
      <c r="W174" s="600">
        <v>13187110</v>
      </c>
      <c r="X174" s="600"/>
    </row>
    <row r="175" spans="2:24" ht="43.5" customHeight="1"/>
  </sheetData>
  <mergeCells count="212"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B23:C24"/>
    <mergeCell ref="B25:C26"/>
    <mergeCell ref="Q25:R25"/>
    <mergeCell ref="T25:U25"/>
    <mergeCell ref="W25:X25"/>
    <mergeCell ref="B27:C28"/>
    <mergeCell ref="B17:C18"/>
    <mergeCell ref="B19:C20"/>
    <mergeCell ref="Q19:R19"/>
    <mergeCell ref="T19:U19"/>
    <mergeCell ref="W19:X19"/>
    <mergeCell ref="B21:C22"/>
    <mergeCell ref="W49:X49"/>
    <mergeCell ref="B51:C52"/>
    <mergeCell ref="B35:C36"/>
    <mergeCell ref="B37:C38"/>
    <mergeCell ref="B39:C40"/>
    <mergeCell ref="B41:C42"/>
    <mergeCell ref="B43:C44"/>
    <mergeCell ref="B45:C46"/>
    <mergeCell ref="B29:C30"/>
    <mergeCell ref="B31:C32"/>
    <mergeCell ref="Q31:R31"/>
    <mergeCell ref="T31:U31"/>
    <mergeCell ref="W31:X31"/>
    <mergeCell ref="B33:C34"/>
    <mergeCell ref="Q33:R33"/>
    <mergeCell ref="T33:U33"/>
    <mergeCell ref="W33:X33"/>
    <mergeCell ref="B53:C54"/>
    <mergeCell ref="B55:C56"/>
    <mergeCell ref="B57:C58"/>
    <mergeCell ref="B59:C60"/>
    <mergeCell ref="Q59:R59"/>
    <mergeCell ref="T59:U59"/>
    <mergeCell ref="B47:C48"/>
    <mergeCell ref="B49:C50"/>
    <mergeCell ref="Q49:R49"/>
    <mergeCell ref="T49:U49"/>
    <mergeCell ref="W65:X65"/>
    <mergeCell ref="B67:C68"/>
    <mergeCell ref="B69:C70"/>
    <mergeCell ref="Q69:R69"/>
    <mergeCell ref="T69:U69"/>
    <mergeCell ref="W69:X69"/>
    <mergeCell ref="W59:X59"/>
    <mergeCell ref="B61:C62"/>
    <mergeCell ref="Q61:R61"/>
    <mergeCell ref="T61:U61"/>
    <mergeCell ref="W61:X61"/>
    <mergeCell ref="B63:C64"/>
    <mergeCell ref="Q63:R63"/>
    <mergeCell ref="T63:U63"/>
    <mergeCell ref="W63:X63"/>
    <mergeCell ref="B71:C72"/>
    <mergeCell ref="B73:C75"/>
    <mergeCell ref="B76:C77"/>
    <mergeCell ref="B78:C79"/>
    <mergeCell ref="Q78:R78"/>
    <mergeCell ref="T78:U78"/>
    <mergeCell ref="B65:C66"/>
    <mergeCell ref="Q65:R65"/>
    <mergeCell ref="T65:U65"/>
    <mergeCell ref="W78:X78"/>
    <mergeCell ref="B80:C81"/>
    <mergeCell ref="Q80:R80"/>
    <mergeCell ref="T80:U80"/>
    <mergeCell ref="W80:X80"/>
    <mergeCell ref="B82:C83"/>
    <mergeCell ref="Q82:R82"/>
    <mergeCell ref="T82:U82"/>
    <mergeCell ref="W82:X82"/>
    <mergeCell ref="B89:C90"/>
    <mergeCell ref="Q89:R89"/>
    <mergeCell ref="T89:U89"/>
    <mergeCell ref="W89:X89"/>
    <mergeCell ref="B91:C92"/>
    <mergeCell ref="Q91:R91"/>
    <mergeCell ref="T91:U91"/>
    <mergeCell ref="W91:X91"/>
    <mergeCell ref="B84:C86"/>
    <mergeCell ref="Q84:R84"/>
    <mergeCell ref="T84:U84"/>
    <mergeCell ref="W84:X84"/>
    <mergeCell ref="B87:C88"/>
    <mergeCell ref="Q87:R87"/>
    <mergeCell ref="T87:U87"/>
    <mergeCell ref="W87:X87"/>
    <mergeCell ref="B97:C99"/>
    <mergeCell ref="Q97:R97"/>
    <mergeCell ref="T97:U97"/>
    <mergeCell ref="W97:X97"/>
    <mergeCell ref="B100:C101"/>
    <mergeCell ref="Q100:R100"/>
    <mergeCell ref="T100:U100"/>
    <mergeCell ref="W100:X100"/>
    <mergeCell ref="B93:C94"/>
    <mergeCell ref="Q93:R93"/>
    <mergeCell ref="T93:U93"/>
    <mergeCell ref="W93:X93"/>
    <mergeCell ref="B95:C96"/>
    <mergeCell ref="Q95:R95"/>
    <mergeCell ref="T95:U95"/>
    <mergeCell ref="W95:X95"/>
    <mergeCell ref="B108:C109"/>
    <mergeCell ref="Q108:R108"/>
    <mergeCell ref="T108:U108"/>
    <mergeCell ref="W108:X108"/>
    <mergeCell ref="B110:C111"/>
    <mergeCell ref="Q110:R110"/>
    <mergeCell ref="T110:U110"/>
    <mergeCell ref="W110:X110"/>
    <mergeCell ref="B102:C104"/>
    <mergeCell ref="Q102:R102"/>
    <mergeCell ref="T102:U102"/>
    <mergeCell ref="W102:X102"/>
    <mergeCell ref="B105:C107"/>
    <mergeCell ref="Q105:R105"/>
    <mergeCell ref="T105:U105"/>
    <mergeCell ref="W105:X105"/>
    <mergeCell ref="B119:C121"/>
    <mergeCell ref="Q119:R119"/>
    <mergeCell ref="T119:U119"/>
    <mergeCell ref="W119:X119"/>
    <mergeCell ref="B122:C124"/>
    <mergeCell ref="Q122:R122"/>
    <mergeCell ref="T122:U122"/>
    <mergeCell ref="W122:X122"/>
    <mergeCell ref="B112:C113"/>
    <mergeCell ref="B114:C115"/>
    <mergeCell ref="B116:C118"/>
    <mergeCell ref="Q116:R116"/>
    <mergeCell ref="T116:U116"/>
    <mergeCell ref="W116:X116"/>
    <mergeCell ref="W131:X131"/>
    <mergeCell ref="B133:C134"/>
    <mergeCell ref="Q133:R133"/>
    <mergeCell ref="T133:U133"/>
    <mergeCell ref="W133:X133"/>
    <mergeCell ref="B125:C127"/>
    <mergeCell ref="Q125:R125"/>
    <mergeCell ref="T125:U125"/>
    <mergeCell ref="W125:X125"/>
    <mergeCell ref="B128:C130"/>
    <mergeCell ref="Q128:R128"/>
    <mergeCell ref="T128:U128"/>
    <mergeCell ref="W128:X128"/>
    <mergeCell ref="B135:C137"/>
    <mergeCell ref="B138:C140"/>
    <mergeCell ref="B141:C143"/>
    <mergeCell ref="B144:C146"/>
    <mergeCell ref="Q144:R144"/>
    <mergeCell ref="T144:U144"/>
    <mergeCell ref="B131:C132"/>
    <mergeCell ref="Q131:R131"/>
    <mergeCell ref="T131:U131"/>
    <mergeCell ref="W144:X144"/>
    <mergeCell ref="B147:C149"/>
    <mergeCell ref="Q147:R147"/>
    <mergeCell ref="T147:U147"/>
    <mergeCell ref="W147:X147"/>
    <mergeCell ref="B150:C152"/>
    <mergeCell ref="Q150:R150"/>
    <mergeCell ref="T150:U150"/>
    <mergeCell ref="W150:X150"/>
    <mergeCell ref="B159:C161"/>
    <mergeCell ref="Q159:R159"/>
    <mergeCell ref="T159:U159"/>
    <mergeCell ref="W159:X159"/>
    <mergeCell ref="B162:C164"/>
    <mergeCell ref="Q162:R162"/>
    <mergeCell ref="T162:U162"/>
    <mergeCell ref="W162:X162"/>
    <mergeCell ref="B153:C155"/>
    <mergeCell ref="Q153:R153"/>
    <mergeCell ref="T153:U153"/>
    <mergeCell ref="W153:X153"/>
    <mergeCell ref="B156:C158"/>
    <mergeCell ref="Q156:R156"/>
    <mergeCell ref="T156:U156"/>
    <mergeCell ref="W156:X156"/>
    <mergeCell ref="B171:C173"/>
    <mergeCell ref="Q171:R171"/>
    <mergeCell ref="T171:U171"/>
    <mergeCell ref="W171:X171"/>
    <mergeCell ref="Q174:R174"/>
    <mergeCell ref="T174:U174"/>
    <mergeCell ref="W174:X174"/>
    <mergeCell ref="B165:C167"/>
    <mergeCell ref="Q165:R165"/>
    <mergeCell ref="T165:U165"/>
    <mergeCell ref="W165:X165"/>
    <mergeCell ref="B168:C170"/>
    <mergeCell ref="Q168:R168"/>
    <mergeCell ref="T168:U168"/>
    <mergeCell ref="W168:X168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" zoomScale="90" zoomScaleNormal="90" workbookViewId="0">
      <selection activeCell="C23" sqref="C23:E32"/>
    </sheetView>
  </sheetViews>
  <sheetFormatPr defaultRowHeight="13.8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>
      <c r="A1" s="596" t="s">
        <v>344</v>
      </c>
      <c r="B1" s="596"/>
    </row>
    <row r="2" spans="1:8">
      <c r="A2" s="597" t="s">
        <v>345</v>
      </c>
      <c r="B2" s="596"/>
    </row>
    <row r="3" spans="1:8">
      <c r="A3" s="596" t="s">
        <v>346</v>
      </c>
      <c r="B3" s="596"/>
    </row>
    <row r="4" spans="1:8" ht="27.6">
      <c r="A4" s="596" t="s">
        <v>347</v>
      </c>
      <c r="B4" s="596"/>
      <c r="C4" s="184" t="s">
        <v>348</v>
      </c>
      <c r="D4" s="196" t="s">
        <v>349</v>
      </c>
      <c r="E4" s="164" t="s">
        <v>350</v>
      </c>
      <c r="F4" s="196" t="s">
        <v>351</v>
      </c>
    </row>
    <row r="5" spans="1:8">
      <c r="A5" s="597" t="s">
        <v>352</v>
      </c>
      <c r="B5" s="596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19700</v>
      </c>
    </row>
    <row r="6" spans="1:8" ht="14.4" thickBot="1">
      <c r="A6" s="594" t="s">
        <v>353</v>
      </c>
      <c r="B6" s="595"/>
      <c r="C6" s="183" t="s">
        <v>354</v>
      </c>
      <c r="D6" s="198">
        <f>VLOOKUP("銀行存款-縣庫存款",平衡!$E$13:$H$41,4,0)+VLOOKUP("零用及週轉金",平衡!$D$13:$H$41,5,0)</f>
        <v>1636231</v>
      </c>
      <c r="E6" s="198">
        <f>VLOOKUP("淨資產",平衡!$K$13:$U$64,10,0)+C5-VLOOKUP("固定資產",平衡!$B$13:$H$41,7,0)</f>
        <v>1636231</v>
      </c>
      <c r="F6" s="169" t="s">
        <v>355</v>
      </c>
    </row>
    <row r="7" spans="1:8" ht="14.4" thickBot="1">
      <c r="A7" s="594" t="s">
        <v>356</v>
      </c>
      <c r="B7" s="595"/>
      <c r="C7" s="183" t="s">
        <v>357</v>
      </c>
      <c r="D7" s="198">
        <f>VLOOKUP("銀行存款-專戶存款",平衡!$E$13:$H$41,4,0)+VLOOKUP("其他預付款",平衡!$D$13:$H$41,5,0)</f>
        <v>13187110</v>
      </c>
      <c r="E7" s="198">
        <f>VLOOKUP("應付代收款",平衡!$N$13:$U$41,7,0)+VLOOKUP("存入保證金",平衡!$N$13:$U$41,7,0)</f>
        <v>13187110</v>
      </c>
      <c r="F7" s="169" t="s">
        <v>358</v>
      </c>
    </row>
    <row r="8" spans="1:8" ht="20.399999999999999" thickBot="1">
      <c r="A8" s="80" t="s">
        <v>127</v>
      </c>
      <c r="B8" s="81" t="s">
        <v>128</v>
      </c>
      <c r="C8" s="183" t="s">
        <v>359</v>
      </c>
      <c r="D8" s="199">
        <f>VLOOKUP("合計：",平衡!$A$13:$H$41,8,0)</f>
        <v>56965329</v>
      </c>
      <c r="E8" s="199">
        <f>VLOOKUP("合計：",平衡!$K$13:$U$41,10,0)</f>
        <v>56965329</v>
      </c>
    </row>
    <row r="9" spans="1:8" ht="16.8" thickBot="1">
      <c r="A9" s="464" t="s">
        <v>129</v>
      </c>
      <c r="B9" s="77" t="s">
        <v>130</v>
      </c>
      <c r="C9" s="183" t="s">
        <v>360</v>
      </c>
      <c r="D9" s="199">
        <f>VLOOKUP("基金用途",餘絀表!$C$16:$T$44,18,0)</f>
        <v>22231913</v>
      </c>
      <c r="E9" s="199">
        <f>VLOOKUP("合       計",各項費用!$D$12:$Q$86,14)</f>
        <v>22231913</v>
      </c>
      <c r="F9" s="199">
        <f>縣庫對帳!P3</f>
        <v>22231913</v>
      </c>
    </row>
    <row r="10" spans="1:8" ht="33" thickBot="1">
      <c r="A10" s="464" t="s">
        <v>131</v>
      </c>
      <c r="B10" s="77" t="s">
        <v>132</v>
      </c>
      <c r="C10" s="183" t="s">
        <v>361</v>
      </c>
      <c r="D10" s="199">
        <f>VLOOKUP("基金來源",餘絀表!$C$16:$T$44,18,0)</f>
        <v>21523702</v>
      </c>
      <c r="E10" s="199">
        <f>縣庫對帳!N3</f>
        <v>21523702</v>
      </c>
      <c r="F10" s="199"/>
      <c r="G10" s="199"/>
      <c r="H10" s="186">
        <f>D13-E13</f>
        <v>0</v>
      </c>
    </row>
    <row r="11" spans="1:8" ht="27" customHeight="1">
      <c r="A11" s="589" t="s">
        <v>27</v>
      </c>
      <c r="B11" s="589" t="s">
        <v>133</v>
      </c>
      <c r="C11" s="183" t="s">
        <v>362</v>
      </c>
      <c r="D11" s="199">
        <f>VLOOKUP("政府撥入收入",餘絀表!$C$16:$T$44,18,0)</f>
        <v>21501919</v>
      </c>
      <c r="E11" s="199"/>
      <c r="F11" s="199">
        <f>VLOOKUP("政府撥入收入",收支!$B$14:$N$61,13,0)</f>
        <v>21501919</v>
      </c>
      <c r="G11" s="199">
        <f>VLOOKUP("政府撥入收入",對照表!$B$1:$E$28,4,0)</f>
        <v>21501919</v>
      </c>
    </row>
    <row r="12" spans="1:8" ht="27.6">
      <c r="A12" s="592"/>
      <c r="B12" s="592"/>
      <c r="C12" s="183" t="s">
        <v>363</v>
      </c>
      <c r="D12" s="199"/>
      <c r="E12" s="199"/>
      <c r="F12" s="199">
        <f>VLOOKUP("收入",收支!$A$14:$N$61,14,0)</f>
        <v>25135465</v>
      </c>
      <c r="G12" s="199">
        <f>VLOOKUP("基金來源",對照表!$A$1:$E$28,5,0)</f>
        <v>25135465</v>
      </c>
    </row>
    <row r="13" spans="1:8">
      <c r="A13" s="592"/>
      <c r="B13" s="592"/>
      <c r="C13" s="183" t="s">
        <v>364</v>
      </c>
      <c r="D13" s="199">
        <f>IF(封面!J10=12,0,VLOOKUP($G$13,平衡!$N$13:$U$41,7,0))</f>
        <v>1246538</v>
      </c>
      <c r="E13" s="199">
        <f>VLOOKUP("本期賸餘（短絀）",收支!$A$14:$N$50,14,0)</f>
        <v>1246538</v>
      </c>
      <c r="F13" s="199">
        <f>VLOOKUP("本期賸餘(短絀)",對照表!$A$1:$E$28,5,0)</f>
        <v>1246538</v>
      </c>
      <c r="G13" s="197" t="str">
        <f>IF(E13&gt;=0,"本期賸餘","本期短絀")</f>
        <v>本期賸餘</v>
      </c>
    </row>
    <row r="14" spans="1:8">
      <c r="A14" s="592"/>
      <c r="B14" s="592"/>
      <c r="C14" s="183" t="s">
        <v>365</v>
      </c>
      <c r="D14" s="199">
        <f>IF(封面!J10=12,0,VLOOKUP("本期賸餘(短絀－)",餘絀表!$C$16:$T$47,18,0))</f>
        <v>-708211</v>
      </c>
      <c r="E14" s="199"/>
      <c r="F14" s="199">
        <f>IF(封面!J10=12,0,VLOOKUP("本期賸餘(短絀)",對照表!$A$1:$C$28,3,0))</f>
        <v>-708211</v>
      </c>
      <c r="G14" s="197"/>
    </row>
    <row r="15" spans="1:8">
      <c r="A15" s="592"/>
      <c r="B15" s="592"/>
      <c r="C15" s="183" t="s">
        <v>366</v>
      </c>
      <c r="D15" s="199">
        <f>IF(封面!J12=12,0,VLOOKUP($G$15,平衡!$K$13:$U$41,10,0))</f>
        <v>43778219</v>
      </c>
      <c r="E15" s="199">
        <f>IF(封面!J12=12,0,VLOOKUP("期末淨資產",收支!$A$14:$N$50,14,0))</f>
        <v>43778219</v>
      </c>
      <c r="F15" s="199">
        <f>IF(封面!K12=12,0,VLOOKUP("期末基金餘額",對照表!$A$1:$E$40,5,0))</f>
        <v>43778219</v>
      </c>
      <c r="G15" s="197" t="s">
        <v>366</v>
      </c>
    </row>
    <row r="16" spans="1:8" ht="14.4" thickBot="1">
      <c r="A16" s="593"/>
      <c r="B16" s="593"/>
      <c r="C16" s="183" t="s">
        <v>367</v>
      </c>
      <c r="D16" s="199">
        <f>VLOOKUP("國民教育計畫",主要業務!$B$15:$J$24,7,0)</f>
        <v>2483259</v>
      </c>
      <c r="E16" s="199">
        <f>VLOOKUP("國民教育計畫",餘絀表!$C$16:$T$44,8,0)</f>
        <v>2483259</v>
      </c>
    </row>
    <row r="17" spans="1:10">
      <c r="A17" s="589" t="s">
        <v>145</v>
      </c>
      <c r="B17" s="589" t="s">
        <v>134</v>
      </c>
      <c r="C17" s="183" t="s">
        <v>368</v>
      </c>
      <c r="D17" s="199">
        <f>主要業務!H17</f>
        <v>22231913</v>
      </c>
      <c r="E17" s="199">
        <f>VLOOKUP("國民教育計畫",餘絀表!$C$16:$T$44,18,0)</f>
        <v>22231913</v>
      </c>
    </row>
    <row r="18" spans="1:10">
      <c r="A18" s="590"/>
      <c r="B18" s="592"/>
      <c r="C18" s="183" t="s">
        <v>369</v>
      </c>
      <c r="D18" s="199">
        <f>主要業務!H20</f>
        <v>0</v>
      </c>
      <c r="E18" s="199" t="e">
        <f>VLOOKUP("建築及設備計畫",餘絀表!$C$16:$T$44,9,0)</f>
        <v>#N/A</v>
      </c>
    </row>
    <row r="19" spans="1:10">
      <c r="A19" s="590"/>
      <c r="B19" s="592"/>
      <c r="C19" s="183" t="s">
        <v>370</v>
      </c>
      <c r="D19" s="199">
        <f>主要業務!H22</f>
        <v>0</v>
      </c>
      <c r="E19" s="199" t="e">
        <f>VLOOKUP("建築及設備計畫",餘絀表!$C$16:$T$44,18,0)</f>
        <v>#N/A</v>
      </c>
    </row>
    <row r="20" spans="1:10">
      <c r="A20" s="590"/>
      <c r="B20" s="592"/>
      <c r="C20" s="183" t="s">
        <v>371</v>
      </c>
      <c r="D20" s="199">
        <f>VLOOKUP("用人費用",各項費用!$F$12:$Q$100,12,0)</f>
        <v>21220997</v>
      </c>
      <c r="E20" s="199">
        <f>VLOOKUP("人事支出",收支!$B$14:$N$61,13,0)</f>
        <v>21220997</v>
      </c>
      <c r="F20" s="199">
        <f>VLOOKUP("用人費用",對照表!$B$1:$E$28,4,0)</f>
        <v>21220997</v>
      </c>
    </row>
    <row r="21" spans="1:10">
      <c r="A21" s="590"/>
      <c r="B21" s="592"/>
      <c r="C21" s="183" t="s">
        <v>372</v>
      </c>
      <c r="D21" s="199">
        <f>IF(E21=0,0,資產!F10+H21-H22)</f>
        <v>1653341</v>
      </c>
      <c r="E21" s="199">
        <f>VLOOKUP("折舊、折耗及攤銷",收支!$B$14:$N$61,13,0)</f>
        <v>1653341</v>
      </c>
      <c r="F21" s="199">
        <f>VLOOKUP("折舊、折耗及攤銷",對照表!$H$1:$J$28,3,0)</f>
        <v>1653341</v>
      </c>
      <c r="G21" s="460" t="s">
        <v>373</v>
      </c>
      <c r="H21" s="461">
        <f>64274+65736+233712</f>
        <v>363722</v>
      </c>
    </row>
    <row r="22" spans="1:10">
      <c r="A22" s="590"/>
      <c r="B22" s="592"/>
      <c r="C22" s="470"/>
      <c r="D22" s="186"/>
      <c r="E22" s="186"/>
      <c r="F22" s="186"/>
      <c r="G22" s="557" t="s">
        <v>454</v>
      </c>
      <c r="H22" s="471">
        <f>1275+90176</f>
        <v>91451</v>
      </c>
    </row>
    <row r="23" spans="1:10">
      <c r="A23" s="590"/>
      <c r="B23" s="613"/>
      <c r="C23" s="488"/>
      <c r="D23" s="559" t="str">
        <f>封面!H10&amp;封面!I10&amp;封面!J10&amp;封面!K10&amp;"會計報告各帳戶存款餘額"</f>
        <v>111年7月會計報告各帳戶存款餘額</v>
      </c>
      <c r="E23" s="562"/>
      <c r="F23" s="560"/>
      <c r="G23" s="489" t="s">
        <v>374</v>
      </c>
      <c r="H23" s="490"/>
    </row>
    <row r="24" spans="1:10">
      <c r="A24" s="590"/>
      <c r="B24" s="613"/>
      <c r="C24" s="488"/>
      <c r="D24" s="491" t="s">
        <v>375</v>
      </c>
      <c r="E24" s="492" t="s">
        <v>376</v>
      </c>
      <c r="F24" s="493" t="s">
        <v>377</v>
      </c>
      <c r="G24" s="494"/>
      <c r="H24" s="494"/>
      <c r="I24" s="164"/>
    </row>
    <row r="25" spans="1:10">
      <c r="A25" s="590"/>
      <c r="B25" s="613"/>
      <c r="C25" s="495" t="s">
        <v>378</v>
      </c>
      <c r="D25" s="495">
        <v>0</v>
      </c>
      <c r="E25" s="495"/>
      <c r="F25" s="496">
        <f t="shared" ref="F25:F27" si="0">SUM(D25:E25)</f>
        <v>0</v>
      </c>
      <c r="G25" s="496"/>
      <c r="H25" s="497"/>
      <c r="I25" s="164"/>
    </row>
    <row r="26" spans="1:10" ht="14.4" thickBot="1">
      <c r="A26" s="591"/>
      <c r="B26" s="614"/>
      <c r="C26" s="495" t="s">
        <v>379</v>
      </c>
      <c r="D26" s="495">
        <v>0</v>
      </c>
      <c r="E26" s="495"/>
      <c r="F26" s="496">
        <f t="shared" si="0"/>
        <v>0</v>
      </c>
      <c r="G26" s="496"/>
      <c r="H26" s="497"/>
      <c r="I26" s="164"/>
    </row>
    <row r="27" spans="1:10" ht="16.8" thickBot="1">
      <c r="A27" s="464" t="s">
        <v>135</v>
      </c>
      <c r="B27" s="487" t="s">
        <v>146</v>
      </c>
      <c r="C27" s="495" t="s">
        <v>380</v>
      </c>
      <c r="D27" s="498">
        <f>Sheet1!Y87</f>
        <v>736573</v>
      </c>
      <c r="E27" s="498"/>
      <c r="F27" s="496">
        <f t="shared" si="0"/>
        <v>736573</v>
      </c>
      <c r="G27" s="496"/>
      <c r="H27" s="497"/>
      <c r="I27" s="164"/>
    </row>
    <row r="28" spans="1:10" ht="16.8" customHeight="1" thickBot="1">
      <c r="A28" s="464" t="s">
        <v>69</v>
      </c>
      <c r="B28" s="487" t="s">
        <v>136</v>
      </c>
      <c r="C28" s="495" t="s">
        <v>381</v>
      </c>
      <c r="D28" s="499">
        <f>F28</f>
        <v>9497724</v>
      </c>
      <c r="E28" s="498"/>
      <c r="F28" s="500">
        <f>F31-(F25+F26+F27+F29+F30)</f>
        <v>9497724</v>
      </c>
      <c r="G28" s="496"/>
      <c r="H28" s="497"/>
      <c r="I28" s="164"/>
      <c r="J28" s="166"/>
    </row>
    <row r="29" spans="1:10" ht="16.8" thickBot="1">
      <c r="A29" s="464" t="s">
        <v>137</v>
      </c>
      <c r="B29" s="487" t="s">
        <v>138</v>
      </c>
      <c r="C29" s="495" t="s">
        <v>382</v>
      </c>
      <c r="D29" s="498">
        <f>Sheet1!Y113</f>
        <v>1032677</v>
      </c>
      <c r="E29" s="498">
        <f>Sheet1!Z113</f>
        <v>1900000</v>
      </c>
      <c r="F29" s="496">
        <f>SUM(D29:E29)</f>
        <v>2932677</v>
      </c>
      <c r="G29" s="496"/>
      <c r="H29" s="497"/>
      <c r="I29" s="164"/>
    </row>
    <row r="30" spans="1:10">
      <c r="A30" s="589" t="s">
        <v>139</v>
      </c>
      <c r="B30" s="612" t="s">
        <v>140</v>
      </c>
      <c r="C30" s="495" t="s">
        <v>383</v>
      </c>
      <c r="D30" s="498">
        <f>Sheet1!Y82</f>
        <v>16</v>
      </c>
      <c r="E30" s="498"/>
      <c r="F30" s="496">
        <f>SUM(D30:E30)</f>
        <v>16</v>
      </c>
      <c r="G30" s="496"/>
      <c r="H30" s="497"/>
      <c r="I30" s="164"/>
    </row>
    <row r="31" spans="1:10">
      <c r="A31" s="592"/>
      <c r="B31" s="613"/>
      <c r="C31" s="501" t="s">
        <v>384</v>
      </c>
      <c r="D31" s="502">
        <f>SUM(D25:D30)</f>
        <v>11266990</v>
      </c>
      <c r="E31" s="502">
        <f>SUM(E25:E30)</f>
        <v>1900000</v>
      </c>
      <c r="F31" s="500">
        <f>VLOOKUP("銀行存款-專戶存款",平衡!$E$13:$H$40,4,0)</f>
        <v>13166990</v>
      </c>
      <c r="G31" s="503">
        <f>SUM(G25:G30)</f>
        <v>0</v>
      </c>
      <c r="H31" s="497"/>
      <c r="I31" s="164"/>
    </row>
    <row r="32" spans="1:10" ht="14.4" thickBot="1">
      <c r="A32" s="591"/>
      <c r="B32" s="591"/>
      <c r="C32" s="501" t="s">
        <v>451</v>
      </c>
      <c r="D32" s="610">
        <f>SUM(D31:E31)</f>
        <v>13166990</v>
      </c>
      <c r="E32" s="611"/>
      <c r="F32" s="186"/>
      <c r="G32" s="186"/>
      <c r="H32" s="164"/>
      <c r="I32" s="164"/>
    </row>
    <row r="33" spans="1:9" ht="14.4" thickBot="1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>
      <c r="A35" s="200"/>
      <c r="B35" s="200"/>
      <c r="D35" s="183"/>
      <c r="E35" s="183"/>
      <c r="F35" s="199"/>
      <c r="G35" s="199"/>
      <c r="H35" s="186"/>
    </row>
    <row r="36" spans="1:9" ht="20.399999999999999" thickBot="1">
      <c r="A36" s="75"/>
      <c r="B36" s="75"/>
    </row>
    <row r="37" spans="1:9" ht="20.399999999999999" thickBot="1">
      <c r="A37" s="78" t="s">
        <v>127</v>
      </c>
      <c r="B37" s="79" t="s">
        <v>141</v>
      </c>
    </row>
    <row r="38" spans="1:9" ht="16.8" thickBot="1">
      <c r="A38" s="464" t="s">
        <v>142</v>
      </c>
      <c r="B38" s="77" t="s">
        <v>162</v>
      </c>
    </row>
    <row r="39" spans="1:9" ht="33" thickBot="1">
      <c r="A39" s="464" t="s">
        <v>129</v>
      </c>
      <c r="B39" s="77" t="s">
        <v>163</v>
      </c>
    </row>
    <row r="40" spans="1:9" ht="16.8" thickBot="1">
      <c r="A40" s="464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39" priority="34" stopIfTrue="1">
      <formula>$D$16&lt;&gt;$E$16</formula>
    </cfRule>
  </conditionalFormatting>
  <conditionalFormatting sqref="D17:E17">
    <cfRule type="expression" dxfId="38" priority="33" stopIfTrue="1">
      <formula>$D17&lt;&gt;$E17</formula>
    </cfRule>
  </conditionalFormatting>
  <conditionalFormatting sqref="D18:E18 E19">
    <cfRule type="expression" dxfId="37" priority="32" stopIfTrue="1">
      <formula>$D$18&lt;&gt;$E$18</formula>
    </cfRule>
  </conditionalFormatting>
  <conditionalFormatting sqref="G31">
    <cfRule type="expression" dxfId="36" priority="31" stopIfTrue="1">
      <formula>$F$33&lt;&gt;$G$33</formula>
    </cfRule>
  </conditionalFormatting>
  <conditionalFormatting sqref="G32">
    <cfRule type="expression" dxfId="35" priority="30" stopIfTrue="1">
      <formula>$H$34&lt;&gt;0</formula>
    </cfRule>
  </conditionalFormatting>
  <conditionalFormatting sqref="G33">
    <cfRule type="expression" dxfId="34" priority="29" stopIfTrue="1">
      <formula>$F$33&lt;&gt;$G$33</formula>
    </cfRule>
  </conditionalFormatting>
  <conditionalFormatting sqref="G34">
    <cfRule type="expression" dxfId="33" priority="28" stopIfTrue="1">
      <formula>$H$34&lt;&gt;0</formula>
    </cfRule>
  </conditionalFormatting>
  <conditionalFormatting sqref="G31">
    <cfRule type="expression" dxfId="32" priority="27" stopIfTrue="1">
      <formula>$F$33&lt;&gt;$G$33</formula>
    </cfRule>
  </conditionalFormatting>
  <conditionalFormatting sqref="D14 F14:F15">
    <cfRule type="expression" dxfId="31" priority="26">
      <formula>$D$14&lt;&gt;$F$14</formula>
    </cfRule>
  </conditionalFormatting>
  <conditionalFormatting sqref="F15">
    <cfRule type="expression" dxfId="30" priority="23">
      <formula>$E$15&lt;&gt;$F$15</formula>
    </cfRule>
    <cfRule type="expression" dxfId="29" priority="24">
      <formula>$D$15&lt;&gt;$F$15</formula>
    </cfRule>
    <cfRule type="expression" dxfId="28" priority="25">
      <formula>$D$14&lt;&gt;$F$14</formula>
    </cfRule>
  </conditionalFormatting>
  <conditionalFormatting sqref="D15">
    <cfRule type="expression" dxfId="27" priority="21">
      <formula>$D$15&lt;&gt;$F$15</formula>
    </cfRule>
    <cfRule type="expression" dxfId="26" priority="22">
      <formula>$D$15&lt;&gt;$E$15</formula>
    </cfRule>
  </conditionalFormatting>
  <conditionalFormatting sqref="E15">
    <cfRule type="expression" dxfId="25" priority="19">
      <formula>$E$15&lt;&gt;$F$15</formula>
    </cfRule>
    <cfRule type="expression" dxfId="24" priority="20">
      <formula>$D$15&lt;&gt;$E$15</formula>
    </cfRule>
  </conditionalFormatting>
  <conditionalFormatting sqref="D7:E7">
    <cfRule type="expression" dxfId="23" priority="18">
      <formula>$D$7&lt;&gt;$E$7</formula>
    </cfRule>
  </conditionalFormatting>
  <conditionalFormatting sqref="D8:E8">
    <cfRule type="expression" dxfId="22" priority="17">
      <formula>$D$8&lt;&gt;$E$8</formula>
    </cfRule>
  </conditionalFormatting>
  <conditionalFormatting sqref="E16:E19">
    <cfRule type="expression" dxfId="21" priority="16" stopIfTrue="1">
      <formula>#REF!&lt;&gt;#REF!</formula>
    </cfRule>
  </conditionalFormatting>
  <conditionalFormatting sqref="D20:F20">
    <cfRule type="expression" dxfId="20" priority="14">
      <formula>$D$20&lt;&gt;$E$20</formula>
    </cfRule>
  </conditionalFormatting>
  <conditionalFormatting sqref="D20:F20">
    <cfRule type="expression" dxfId="19" priority="13">
      <formula>$E$20&lt;&gt;$F$20</formula>
    </cfRule>
  </conditionalFormatting>
  <conditionalFormatting sqref="D21:F22 D23:D24 F23">
    <cfRule type="expression" dxfId="18" priority="12">
      <formula>$D$21&lt;&gt;$E$21</formula>
    </cfRule>
  </conditionalFormatting>
  <conditionalFormatting sqref="D21:F22 D23:D24 F23">
    <cfRule type="expression" dxfId="17" priority="11">
      <formula>$D$21&lt;&gt;$F$21</formula>
    </cfRule>
  </conditionalFormatting>
  <conditionalFormatting sqref="D9:F9">
    <cfRule type="expression" dxfId="16" priority="9">
      <formula>$D$9&lt;&gt;$F$9</formula>
    </cfRule>
    <cfRule type="expression" dxfId="15" priority="10">
      <formula>$D$9&lt;&gt;$E$9</formula>
    </cfRule>
  </conditionalFormatting>
  <conditionalFormatting sqref="D10:G10">
    <cfRule type="expression" dxfId="14" priority="8">
      <formula>$D$10&lt;&gt;$E$10</formula>
    </cfRule>
  </conditionalFormatting>
  <conditionalFormatting sqref="F12:G12">
    <cfRule type="expression" dxfId="13" priority="7">
      <formula>$F$12&lt;&gt;$G$12</formula>
    </cfRule>
  </conditionalFormatting>
  <conditionalFormatting sqref="F35:G35">
    <cfRule type="expression" dxfId="12" priority="6" stopIfTrue="1">
      <formula>$F$35&lt;&gt;$G$35</formula>
    </cfRule>
  </conditionalFormatting>
  <conditionalFormatting sqref="F30 F25:G26">
    <cfRule type="expression" dxfId="11" priority="5" stopIfTrue="1">
      <formula>$F26&lt;&gt;$G26</formula>
    </cfRule>
  </conditionalFormatting>
  <conditionalFormatting sqref="G31 F25:F31">
    <cfRule type="expression" dxfId="10" priority="4" stopIfTrue="1">
      <formula>$F25&lt;&gt;$G25</formula>
    </cfRule>
  </conditionalFormatting>
  <conditionalFormatting sqref="E13:F13">
    <cfRule type="expression" dxfId="9" priority="3">
      <formula>$E$13&lt;&gt;$F$13</formula>
    </cfRule>
  </conditionalFormatting>
  <conditionalFormatting sqref="E23">
    <cfRule type="expression" dxfId="8" priority="2">
      <formula>$D$21&lt;&gt;$E$21</formula>
    </cfRule>
  </conditionalFormatting>
  <conditionalFormatting sqref="E23">
    <cfRule type="expression" dxfId="7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N9" sqref="N9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3" t="s">
        <v>284</v>
      </c>
    </row>
    <row r="4" spans="1:15" ht="36.6">
      <c r="A4" s="584" t="s">
        <v>283</v>
      </c>
      <c r="B4" s="585"/>
      <c r="C4" s="585"/>
      <c r="D4" s="585"/>
      <c r="E4" s="585"/>
      <c r="F4" s="585"/>
      <c r="G4" s="585"/>
      <c r="H4" s="585"/>
      <c r="I4" s="585"/>
      <c r="J4" s="585"/>
      <c r="K4" s="585"/>
      <c r="L4" s="585"/>
      <c r="M4" s="585"/>
      <c r="N4" s="585"/>
    </row>
    <row r="5" spans="1:15" ht="59.25" customHeight="1"/>
    <row r="6" spans="1:15" ht="59.25" customHeight="1"/>
    <row r="7" spans="1:15" ht="36.6">
      <c r="C7" s="586" t="s">
        <v>120</v>
      </c>
      <c r="D7" s="586"/>
      <c r="E7" s="586"/>
      <c r="F7" s="586"/>
      <c r="G7" s="586"/>
      <c r="H7" s="586"/>
      <c r="I7" s="586"/>
      <c r="J7" s="586"/>
      <c r="K7" s="586"/>
      <c r="L7" s="586"/>
    </row>
    <row r="8" spans="1:15" ht="51.75" customHeight="1"/>
    <row r="9" spans="1:15" ht="51.75" customHeight="1"/>
    <row r="10" spans="1:15" s="67" customFormat="1" ht="33">
      <c r="C10" s="66"/>
      <c r="D10" s="66"/>
      <c r="E10" s="587" t="s">
        <v>121</v>
      </c>
      <c r="F10" s="587"/>
      <c r="G10" s="587"/>
      <c r="H10" s="67">
        <v>111</v>
      </c>
      <c r="I10" s="67" t="s">
        <v>122</v>
      </c>
      <c r="J10" s="67">
        <v>7</v>
      </c>
      <c r="K10" s="73" t="s">
        <v>123</v>
      </c>
      <c r="L10" s="74" t="s">
        <v>126</v>
      </c>
      <c r="O10" s="67">
        <v>31</v>
      </c>
    </row>
    <row r="15" spans="1:15" s="64" customFormat="1" ht="34.5" customHeight="1">
      <c r="B15" s="588" t="s">
        <v>124</v>
      </c>
      <c r="C15" s="588"/>
      <c r="D15" s="588"/>
      <c r="E15" s="588"/>
      <c r="F15" s="588"/>
      <c r="H15" s="65"/>
      <c r="I15" s="65" t="s">
        <v>125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7"/>
  <sheetViews>
    <sheetView showGridLines="0" showOutlineSymbols="0" view="pageBreakPreview" topLeftCell="A7" zoomScale="90" zoomScaleSheetLayoutView="90" workbookViewId="0">
      <selection activeCell="A25" sqref="A25:XFD25"/>
    </sheetView>
  </sheetViews>
  <sheetFormatPr defaultColWidth="6.88671875" defaultRowHeight="12.75" customHeight="1"/>
  <cols>
    <col min="1" max="1" width="2.6640625" style="85" customWidth="1"/>
    <col min="2" max="2" width="1" style="85" customWidth="1"/>
    <col min="3" max="3" width="24" style="85" customWidth="1"/>
    <col min="4" max="4" width="6.109375" style="85" bestFit="1" customWidth="1"/>
    <col min="5" max="5" width="2" style="85" hidden="1" customWidth="1"/>
    <col min="6" max="6" width="3.77734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>
      <c r="AE1" s="618"/>
      <c r="AF1" s="618"/>
      <c r="AG1" s="618"/>
      <c r="AH1" s="618"/>
      <c r="AI1" s="618"/>
    </row>
    <row r="2" spans="2:35" ht="9" customHeight="1">
      <c r="B2" s="474"/>
      <c r="C2" s="622" t="str">
        <f>[1]封面!$A$4</f>
        <v>彰化縣地方教育發展基金－彰化縣秀水鄉馬興國民小學</v>
      </c>
      <c r="D2" s="622"/>
      <c r="E2" s="622"/>
      <c r="F2" s="622"/>
      <c r="G2" s="622"/>
      <c r="H2" s="622"/>
      <c r="I2" s="622"/>
      <c r="J2" s="622"/>
      <c r="K2" s="622"/>
      <c r="L2" s="622"/>
      <c r="M2" s="622"/>
      <c r="N2" s="622"/>
      <c r="O2" s="622"/>
      <c r="P2" s="622"/>
      <c r="Q2" s="622"/>
      <c r="R2" s="622"/>
      <c r="S2" s="622"/>
      <c r="T2" s="622"/>
      <c r="U2" s="622"/>
      <c r="V2" s="622"/>
      <c r="W2" s="622"/>
      <c r="X2" s="622"/>
      <c r="Y2" s="622"/>
      <c r="Z2" s="622"/>
      <c r="AA2" s="622"/>
      <c r="AB2" s="622"/>
      <c r="AC2" s="622"/>
      <c r="AD2" s="622"/>
      <c r="AE2" s="618"/>
      <c r="AF2" s="618"/>
      <c r="AG2" s="618"/>
      <c r="AH2" s="618"/>
      <c r="AI2" s="618"/>
    </row>
    <row r="3" spans="2:35" ht="18" customHeight="1">
      <c r="B3" s="474"/>
      <c r="C3" s="622"/>
      <c r="D3" s="622"/>
      <c r="E3" s="622"/>
      <c r="F3" s="622"/>
      <c r="G3" s="622"/>
      <c r="H3" s="622"/>
      <c r="I3" s="622"/>
      <c r="J3" s="622"/>
      <c r="K3" s="622"/>
      <c r="L3" s="622"/>
      <c r="M3" s="622"/>
      <c r="N3" s="622"/>
      <c r="O3" s="622"/>
      <c r="P3" s="622"/>
      <c r="Q3" s="622"/>
      <c r="R3" s="622"/>
      <c r="S3" s="622"/>
      <c r="T3" s="622"/>
      <c r="U3" s="622"/>
      <c r="V3" s="622"/>
      <c r="W3" s="622"/>
      <c r="X3" s="622"/>
      <c r="Y3" s="622"/>
      <c r="Z3" s="622"/>
      <c r="AA3" s="622"/>
      <c r="AB3" s="622"/>
      <c r="AC3" s="622"/>
      <c r="AD3" s="622"/>
    </row>
    <row r="4" spans="2:35" ht="24" customHeight="1">
      <c r="B4" s="619" t="s">
        <v>9</v>
      </c>
      <c r="C4" s="619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619"/>
      <c r="X4" s="619"/>
      <c r="Y4" s="619"/>
      <c r="Z4" s="619"/>
      <c r="AA4" s="619"/>
      <c r="AB4" s="619"/>
      <c r="AC4" s="619"/>
      <c r="AD4" s="619"/>
    </row>
    <row r="5" spans="2:35" ht="7.5" customHeight="1">
      <c r="C5" s="620" t="str">
        <f>封面!$E$10&amp;封面!$H$10&amp;封面!$I$10&amp;封面!$J$10&amp;封面!$K$10&amp;封面!L10</f>
        <v>中華民國111年7月份</v>
      </c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  <c r="AC5" s="620"/>
      <c r="AD5" s="620"/>
    </row>
    <row r="6" spans="2:35" ht="13.8" customHeight="1">
      <c r="C6" s="620"/>
      <c r="D6" s="620"/>
      <c r="E6" s="620"/>
      <c r="F6" s="620"/>
      <c r="G6" s="620"/>
      <c r="H6" s="620"/>
      <c r="I6" s="620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620"/>
      <c r="X6" s="620"/>
      <c r="Y6" s="620"/>
      <c r="Z6" s="620"/>
      <c r="AA6" s="620"/>
      <c r="AB6" s="620"/>
      <c r="AC6" s="620"/>
      <c r="AD6" s="620"/>
    </row>
    <row r="7" spans="2:35" ht="16.2" customHeight="1">
      <c r="Y7" s="621" t="s">
        <v>1</v>
      </c>
      <c r="Z7" s="621"/>
      <c r="AA7" s="621"/>
      <c r="AB7" s="621"/>
      <c r="AC7" s="621"/>
      <c r="AD7" s="621"/>
    </row>
    <row r="8" spans="2:35" ht="3.75" customHeight="1"/>
    <row r="9" spans="2:35" s="86" customFormat="1" ht="12.75" customHeight="1">
      <c r="C9" s="615" t="s">
        <v>385</v>
      </c>
      <c r="D9" s="615"/>
      <c r="E9" s="473"/>
      <c r="F9" s="473"/>
      <c r="G9" s="634" t="s">
        <v>458</v>
      </c>
      <c r="H9" s="473"/>
      <c r="I9" s="473"/>
      <c r="J9" s="623" t="s">
        <v>10</v>
      </c>
      <c r="K9" s="624"/>
      <c r="L9" s="624"/>
      <c r="M9" s="624"/>
      <c r="N9" s="624"/>
      <c r="O9" s="624"/>
      <c r="P9" s="624"/>
      <c r="Q9" s="625"/>
      <c r="R9" s="473"/>
      <c r="S9" s="473"/>
      <c r="T9" s="623" t="s">
        <v>11</v>
      </c>
      <c r="U9" s="624"/>
      <c r="V9" s="624"/>
      <c r="W9" s="624"/>
      <c r="X9" s="624"/>
      <c r="Y9" s="624"/>
      <c r="Z9" s="624"/>
      <c r="AA9" s="624"/>
      <c r="AB9" s="624"/>
      <c r="AC9" s="624"/>
      <c r="AD9" s="625"/>
      <c r="AG9" s="216"/>
    </row>
    <row r="10" spans="2:35" s="86" customFormat="1" ht="15.6" hidden="1" customHeight="1">
      <c r="C10" s="473"/>
      <c r="D10" s="561"/>
      <c r="E10" s="473"/>
      <c r="F10" s="473"/>
      <c r="G10" s="642"/>
      <c r="H10" s="472"/>
      <c r="I10" s="473"/>
      <c r="J10" s="629"/>
      <c r="K10" s="630"/>
      <c r="L10" s="630"/>
      <c r="M10" s="630"/>
      <c r="N10" s="630"/>
      <c r="O10" s="630"/>
      <c r="P10" s="630"/>
      <c r="Q10" s="631"/>
      <c r="R10" s="473"/>
      <c r="S10" s="473"/>
      <c r="T10" s="629"/>
      <c r="U10" s="630"/>
      <c r="V10" s="630"/>
      <c r="W10" s="630"/>
      <c r="X10" s="630"/>
      <c r="Y10" s="630"/>
      <c r="Z10" s="630"/>
      <c r="AA10" s="630"/>
      <c r="AB10" s="630"/>
      <c r="AC10" s="630"/>
      <c r="AD10" s="631"/>
      <c r="AG10" s="216"/>
    </row>
    <row r="11" spans="2:35" s="86" customFormat="1" ht="25.2" hidden="1" customHeight="1">
      <c r="C11" s="473"/>
      <c r="D11" s="473"/>
      <c r="E11" s="473"/>
      <c r="F11" s="473"/>
      <c r="G11" s="642"/>
      <c r="H11" s="472"/>
      <c r="I11" s="473"/>
      <c r="J11" s="473"/>
      <c r="K11" s="473"/>
      <c r="L11" s="473"/>
      <c r="M11" s="473"/>
      <c r="N11" s="473"/>
      <c r="O11" s="473"/>
      <c r="P11" s="473"/>
      <c r="Q11" s="473"/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473"/>
      <c r="AD11" s="473"/>
      <c r="AG11" s="216"/>
    </row>
    <row r="12" spans="2:35" s="86" customFormat="1" ht="15" customHeight="1">
      <c r="C12" s="616" t="s">
        <v>457</v>
      </c>
      <c r="D12" s="615" t="s">
        <v>7</v>
      </c>
      <c r="E12" s="473"/>
      <c r="F12" s="473"/>
      <c r="G12" s="642"/>
      <c r="H12" s="472"/>
      <c r="I12" s="473"/>
      <c r="J12" s="634" t="s">
        <v>13</v>
      </c>
      <c r="K12" s="634" t="s">
        <v>13</v>
      </c>
      <c r="L12" s="473"/>
      <c r="M12" s="634" t="s">
        <v>14</v>
      </c>
      <c r="N12" s="623" t="s">
        <v>12</v>
      </c>
      <c r="O12" s="624"/>
      <c r="P12" s="624"/>
      <c r="Q12" s="624"/>
      <c r="R12" s="625"/>
      <c r="S12" s="473"/>
      <c r="T12" s="643" t="s">
        <v>386</v>
      </c>
      <c r="U12" s="473"/>
      <c r="V12" s="473"/>
      <c r="W12" s="623" t="s">
        <v>14</v>
      </c>
      <c r="X12" s="624"/>
      <c r="Y12" s="625"/>
      <c r="Z12" s="473"/>
      <c r="AA12" s="636" t="s">
        <v>12</v>
      </c>
      <c r="AB12" s="637"/>
      <c r="AC12" s="637"/>
      <c r="AD12" s="638"/>
      <c r="AG12" s="216"/>
    </row>
    <row r="13" spans="2:35" s="86" customFormat="1" ht="14.25" customHeight="1">
      <c r="C13" s="617"/>
      <c r="D13" s="615"/>
      <c r="E13" s="475"/>
      <c r="F13" s="473"/>
      <c r="G13" s="642"/>
      <c r="H13" s="472"/>
      <c r="I13" s="473"/>
      <c r="J13" s="642"/>
      <c r="K13" s="642"/>
      <c r="L13" s="473"/>
      <c r="M13" s="642"/>
      <c r="N13" s="629"/>
      <c r="O13" s="630"/>
      <c r="P13" s="630"/>
      <c r="Q13" s="630"/>
      <c r="R13" s="631"/>
      <c r="S13" s="473"/>
      <c r="T13" s="644"/>
      <c r="U13" s="632"/>
      <c r="V13" s="473"/>
      <c r="W13" s="626"/>
      <c r="X13" s="627"/>
      <c r="Y13" s="628"/>
      <c r="Z13" s="473"/>
      <c r="AA13" s="639"/>
      <c r="AB13" s="640"/>
      <c r="AC13" s="640"/>
      <c r="AD13" s="641"/>
      <c r="AG13" s="216"/>
    </row>
    <row r="14" spans="2:35" s="86" customFormat="1" ht="13.5" hidden="1" customHeight="1">
      <c r="C14" s="617"/>
      <c r="D14" s="615"/>
      <c r="E14" s="475"/>
      <c r="F14" s="473"/>
      <c r="G14" s="642"/>
      <c r="H14" s="473"/>
      <c r="I14" s="473"/>
      <c r="J14" s="642"/>
      <c r="K14" s="642"/>
      <c r="L14" s="473"/>
      <c r="M14" s="642"/>
      <c r="N14" s="634" t="s">
        <v>4</v>
      </c>
      <c r="O14" s="634" t="s">
        <v>4</v>
      </c>
      <c r="P14" s="473"/>
      <c r="Q14" s="623" t="s">
        <v>5</v>
      </c>
      <c r="R14" s="625"/>
      <c r="S14" s="473"/>
      <c r="T14" s="644"/>
      <c r="U14" s="633"/>
      <c r="V14" s="473"/>
      <c r="W14" s="626"/>
      <c r="X14" s="627"/>
      <c r="Y14" s="628"/>
      <c r="Z14" s="473"/>
      <c r="AA14" s="632" t="s">
        <v>4</v>
      </c>
      <c r="AB14" s="473"/>
      <c r="AC14" s="473"/>
      <c r="AD14" s="632" t="s">
        <v>5</v>
      </c>
      <c r="AG14" s="216"/>
    </row>
    <row r="15" spans="2:35" s="86" customFormat="1" ht="18" customHeight="1">
      <c r="C15" s="617"/>
      <c r="D15" s="615"/>
      <c r="E15" s="475"/>
      <c r="F15" s="473"/>
      <c r="G15" s="635"/>
      <c r="H15" s="473"/>
      <c r="I15" s="473"/>
      <c r="J15" s="635"/>
      <c r="K15" s="635"/>
      <c r="L15" s="473"/>
      <c r="M15" s="635"/>
      <c r="N15" s="635"/>
      <c r="O15" s="635"/>
      <c r="P15" s="473"/>
      <c r="Q15" s="629"/>
      <c r="R15" s="631"/>
      <c r="S15" s="473"/>
      <c r="T15" s="645"/>
      <c r="U15" s="473"/>
      <c r="V15" s="473"/>
      <c r="W15" s="629"/>
      <c r="X15" s="630"/>
      <c r="Y15" s="631"/>
      <c r="Z15" s="473"/>
      <c r="AA15" s="633"/>
      <c r="AB15" s="473"/>
      <c r="AC15" s="473"/>
      <c r="AD15" s="633"/>
      <c r="AG15" s="216"/>
    </row>
    <row r="16" spans="2:35" ht="15">
      <c r="C16" s="385" t="s">
        <v>15</v>
      </c>
      <c r="D16" s="442" t="s">
        <v>387</v>
      </c>
      <c r="E16" s="386"/>
      <c r="F16" s="87"/>
      <c r="G16" s="176">
        <v>35287000</v>
      </c>
      <c r="H16" s="176"/>
      <c r="I16" s="176"/>
      <c r="J16" s="176">
        <v>2507000</v>
      </c>
      <c r="K16" s="176"/>
      <c r="L16" s="176"/>
      <c r="M16" s="176">
        <v>2507000</v>
      </c>
      <c r="N16" s="177"/>
      <c r="O16" s="177"/>
      <c r="P16" s="108"/>
      <c r="Q16" s="182"/>
      <c r="R16" s="108"/>
      <c r="S16" s="208"/>
      <c r="T16" s="210">
        <v>21523702</v>
      </c>
      <c r="U16" s="176"/>
      <c r="V16" s="177"/>
      <c r="W16" s="213">
        <v>21794000</v>
      </c>
      <c r="X16" s="210"/>
      <c r="Y16" s="176"/>
      <c r="Z16" s="177"/>
      <c r="AA16" s="181">
        <v>-270298</v>
      </c>
      <c r="AB16" s="108"/>
      <c r="AC16" s="108"/>
      <c r="AD16" s="182">
        <v>-1.2402404331467376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03" t="s">
        <v>16</v>
      </c>
      <c r="D17" s="442" t="s">
        <v>388</v>
      </c>
      <c r="E17" s="405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>
        <v>5640</v>
      </c>
      <c r="U17" s="179"/>
      <c r="V17" s="179"/>
      <c r="W17" s="214">
        <v>5000</v>
      </c>
      <c r="X17" s="211"/>
      <c r="Y17" s="179"/>
      <c r="Z17" s="179"/>
      <c r="AA17" s="179">
        <v>640</v>
      </c>
      <c r="AB17" s="109"/>
      <c r="AC17" s="109"/>
      <c r="AD17" s="111">
        <v>12.8</v>
      </c>
      <c r="AF17" s="85">
        <v>4</v>
      </c>
      <c r="AG17" s="215" t="str">
        <f t="shared" ref="AG17:AG44" si="0">IF(LEN(D17)&lt;3,"",IF(OR(ABS(AD17)&gt;10,ABS(AA17)&gt;10000000,AND(T17&gt;0,W17=0)),"填寫說明",""))</f>
        <v/>
      </c>
    </row>
    <row r="18" spans="3:33" ht="15">
      <c r="C18" s="406" t="s">
        <v>17</v>
      </c>
      <c r="D18" s="442" t="s">
        <v>389</v>
      </c>
      <c r="E18" s="404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>
        <v>5640</v>
      </c>
      <c r="U18" s="179"/>
      <c r="V18" s="179"/>
      <c r="W18" s="214">
        <v>5000</v>
      </c>
      <c r="X18" s="211"/>
      <c r="Y18" s="179"/>
      <c r="Z18" s="179"/>
      <c r="AA18" s="179">
        <v>640</v>
      </c>
      <c r="AB18" s="109"/>
      <c r="AC18" s="109"/>
      <c r="AD18" s="111">
        <v>12.8</v>
      </c>
      <c r="AF18" s="85">
        <v>5</v>
      </c>
      <c r="AG18" s="215" t="str">
        <f t="shared" si="0"/>
        <v>填寫說明</v>
      </c>
    </row>
    <row r="19" spans="3:33" ht="15">
      <c r="C19" s="403" t="s">
        <v>18</v>
      </c>
      <c r="D19" s="442" t="s">
        <v>390</v>
      </c>
      <c r="E19" s="405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>
        <v>4680</v>
      </c>
      <c r="U19" s="178"/>
      <c r="V19" s="179"/>
      <c r="W19" s="214"/>
      <c r="X19" s="212"/>
      <c r="Y19" s="178"/>
      <c r="Z19" s="179"/>
      <c r="AA19" s="179">
        <v>4680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>
      <c r="C20" s="406" t="s">
        <v>19</v>
      </c>
      <c r="D20" s="442" t="s">
        <v>391</v>
      </c>
      <c r="E20" s="405"/>
      <c r="F20" s="89"/>
      <c r="G20" s="178">
        <v>1000</v>
      </c>
      <c r="H20" s="178"/>
      <c r="I20" s="178"/>
      <c r="J20" s="178"/>
      <c r="K20" s="179"/>
      <c r="L20" s="179"/>
      <c r="M20" s="179"/>
      <c r="N20" s="179"/>
      <c r="O20" s="179"/>
      <c r="P20" s="109"/>
      <c r="Q20" s="111"/>
      <c r="R20" s="109"/>
      <c r="S20" s="209"/>
      <c r="T20" s="212">
        <v>4680</v>
      </c>
      <c r="U20" s="179"/>
      <c r="V20" s="179"/>
      <c r="W20" s="214"/>
      <c r="X20" s="212"/>
      <c r="Y20" s="178"/>
      <c r="Z20" s="178"/>
      <c r="AA20" s="178">
        <v>4680</v>
      </c>
      <c r="AB20" s="109"/>
      <c r="AC20" s="111"/>
      <c r="AD20" s="111"/>
      <c r="AF20" s="85">
        <v>8</v>
      </c>
      <c r="AG20" s="215" t="str">
        <f t="shared" si="0"/>
        <v>填寫說明</v>
      </c>
    </row>
    <row r="21" spans="3:33" ht="15">
      <c r="C21" s="403" t="s">
        <v>392</v>
      </c>
      <c r="D21" s="442" t="s">
        <v>393</v>
      </c>
      <c r="E21" s="404"/>
      <c r="F21" s="89"/>
      <c r="G21" s="178">
        <v>35266000</v>
      </c>
      <c r="H21" s="178"/>
      <c r="I21" s="178"/>
      <c r="J21" s="178">
        <v>2507000</v>
      </c>
      <c r="K21" s="179"/>
      <c r="L21" s="179"/>
      <c r="M21" s="179">
        <v>2507000</v>
      </c>
      <c r="N21" s="179"/>
      <c r="O21" s="179"/>
      <c r="P21" s="109"/>
      <c r="Q21" s="111"/>
      <c r="R21" s="109"/>
      <c r="S21" s="209"/>
      <c r="T21" s="212">
        <v>21501919</v>
      </c>
      <c r="U21" s="179"/>
      <c r="V21" s="179"/>
      <c r="W21" s="214">
        <v>21784000</v>
      </c>
      <c r="X21" s="212"/>
      <c r="Y21" s="178"/>
      <c r="Z21" s="178"/>
      <c r="AA21" s="178">
        <v>-282081</v>
      </c>
      <c r="AB21" s="109"/>
      <c r="AC21" s="111"/>
      <c r="AD21" s="111">
        <v>-1.2948999265515975</v>
      </c>
      <c r="AF21" s="85">
        <v>9</v>
      </c>
      <c r="AG21" s="215" t="str">
        <f t="shared" si="0"/>
        <v/>
      </c>
    </row>
    <row r="22" spans="3:33" ht="15">
      <c r="C22" s="406" t="s">
        <v>21</v>
      </c>
      <c r="D22" s="442" t="s">
        <v>394</v>
      </c>
      <c r="E22" s="405"/>
      <c r="F22" s="89"/>
      <c r="G22" s="178">
        <v>35266000</v>
      </c>
      <c r="H22" s="178"/>
      <c r="I22" s="178"/>
      <c r="J22" s="178">
        <v>2507000</v>
      </c>
      <c r="K22" s="178"/>
      <c r="L22" s="178"/>
      <c r="M22" s="178">
        <v>2507000</v>
      </c>
      <c r="N22" s="178"/>
      <c r="O22" s="178"/>
      <c r="P22" s="110"/>
      <c r="Q22" s="111"/>
      <c r="R22" s="111"/>
      <c r="S22" s="209"/>
      <c r="T22" s="212">
        <v>21501919</v>
      </c>
      <c r="U22" s="178"/>
      <c r="V22" s="179"/>
      <c r="W22" s="214">
        <v>21784000</v>
      </c>
      <c r="X22" s="212"/>
      <c r="Y22" s="178"/>
      <c r="Z22" s="178"/>
      <c r="AA22" s="178">
        <v>-282081</v>
      </c>
      <c r="AB22" s="109"/>
      <c r="AC22" s="111"/>
      <c r="AD22" s="111">
        <v>-1.2948999265515975</v>
      </c>
      <c r="AF22" s="85">
        <v>10</v>
      </c>
      <c r="AG22" s="215" t="str">
        <f t="shared" si="0"/>
        <v/>
      </c>
    </row>
    <row r="23" spans="3:33" ht="15">
      <c r="C23" s="174" t="s">
        <v>187</v>
      </c>
      <c r="D23" s="442" t="s">
        <v>395</v>
      </c>
      <c r="E23" s="89"/>
      <c r="F23" s="89"/>
      <c r="G23" s="178">
        <v>10000</v>
      </c>
      <c r="H23" s="178"/>
      <c r="I23" s="178"/>
      <c r="J23" s="178"/>
      <c r="K23" s="178"/>
      <c r="L23" s="178"/>
      <c r="M23" s="178"/>
      <c r="N23" s="178"/>
      <c r="O23" s="178"/>
      <c r="P23" s="110"/>
      <c r="Q23" s="111"/>
      <c r="R23" s="111"/>
      <c r="S23" s="209"/>
      <c r="T23" s="212">
        <v>11463</v>
      </c>
      <c r="U23" s="178"/>
      <c r="V23" s="179"/>
      <c r="W23" s="214">
        <v>5000</v>
      </c>
      <c r="X23" s="212"/>
      <c r="Y23" s="178"/>
      <c r="Z23" s="178"/>
      <c r="AA23" s="178">
        <v>6463</v>
      </c>
      <c r="AB23" s="109"/>
      <c r="AC23" s="111"/>
      <c r="AD23" s="111">
        <v>129.26</v>
      </c>
      <c r="AF23" s="85">
        <v>11</v>
      </c>
      <c r="AG23" s="215" t="str">
        <f t="shared" si="0"/>
        <v/>
      </c>
    </row>
    <row r="24" spans="3:33" ht="15">
      <c r="C24" s="175" t="s">
        <v>396</v>
      </c>
      <c r="D24" s="442" t="s">
        <v>397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>
        <v>11463</v>
      </c>
      <c r="U24" s="178"/>
      <c r="V24" s="179"/>
      <c r="W24" s="214">
        <v>5000</v>
      </c>
      <c r="X24" s="212"/>
      <c r="Y24" s="178"/>
      <c r="Z24" s="178"/>
      <c r="AA24" s="178">
        <v>6463</v>
      </c>
      <c r="AB24" s="109"/>
      <c r="AC24" s="111"/>
      <c r="AD24" s="111">
        <v>129.26</v>
      </c>
      <c r="AF24" s="85">
        <v>12</v>
      </c>
      <c r="AG24" s="215" t="str">
        <f t="shared" si="0"/>
        <v>填寫說明</v>
      </c>
    </row>
    <row r="25" spans="3:33" ht="15">
      <c r="C25" s="170" t="s">
        <v>170</v>
      </c>
      <c r="D25" s="442" t="s">
        <v>398</v>
      </c>
      <c r="E25" s="89"/>
      <c r="F25" s="89"/>
      <c r="G25" s="178">
        <v>36996000</v>
      </c>
      <c r="H25" s="178"/>
      <c r="I25" s="178"/>
      <c r="J25" s="178">
        <v>2483259</v>
      </c>
      <c r="K25" s="178"/>
      <c r="L25" s="178"/>
      <c r="M25" s="179">
        <v>2507000</v>
      </c>
      <c r="N25" s="178">
        <v>-23741</v>
      </c>
      <c r="O25" s="178"/>
      <c r="P25" s="110"/>
      <c r="Q25" s="111">
        <v>-0.94698843238931008</v>
      </c>
      <c r="R25" s="109"/>
      <c r="S25" s="109"/>
      <c r="T25" s="178">
        <v>22231913</v>
      </c>
      <c r="U25" s="178"/>
      <c r="V25" s="179"/>
      <c r="W25" s="178">
        <v>23503000</v>
      </c>
      <c r="X25" s="178"/>
      <c r="Y25" s="178"/>
      <c r="Z25" s="178"/>
      <c r="AA25" s="178">
        <v>-1271087</v>
      </c>
      <c r="AB25" s="109"/>
      <c r="AC25" s="111"/>
      <c r="AD25" s="111">
        <v>-5.408190443773135</v>
      </c>
      <c r="AF25" s="85">
        <v>13</v>
      </c>
      <c r="AG25" s="215" t="str">
        <f t="shared" si="0"/>
        <v/>
      </c>
    </row>
    <row r="26" spans="3:33" ht="15">
      <c r="C26" s="174" t="s">
        <v>22</v>
      </c>
      <c r="D26" s="442" t="s">
        <v>399</v>
      </c>
      <c r="E26" s="170"/>
      <c r="F26" s="89"/>
      <c r="G26" s="178">
        <v>36996000</v>
      </c>
      <c r="H26" s="178"/>
      <c r="I26" s="178"/>
      <c r="J26" s="178">
        <v>2483259</v>
      </c>
      <c r="K26" s="178"/>
      <c r="L26" s="178"/>
      <c r="M26" s="179">
        <v>2507000</v>
      </c>
      <c r="N26" s="178">
        <v>-23741</v>
      </c>
      <c r="O26" s="178"/>
      <c r="P26" s="110"/>
      <c r="Q26" s="111">
        <v>-0.94698843238931008</v>
      </c>
      <c r="R26" s="109"/>
      <c r="S26" s="109"/>
      <c r="T26" s="178">
        <v>22231913</v>
      </c>
      <c r="U26" s="178"/>
      <c r="V26" s="179"/>
      <c r="W26" s="178">
        <v>23503000</v>
      </c>
      <c r="X26" s="178"/>
      <c r="Y26" s="178"/>
      <c r="Z26" s="178"/>
      <c r="AA26" s="178">
        <v>-1271087</v>
      </c>
      <c r="AB26" s="109"/>
      <c r="AC26" s="111"/>
      <c r="AD26" s="111">
        <v>-5.408190443773135</v>
      </c>
      <c r="AF26" s="85">
        <v>14</v>
      </c>
      <c r="AG26" s="215" t="str">
        <f t="shared" si="0"/>
        <v/>
      </c>
    </row>
    <row r="27" spans="3:33" ht="15">
      <c r="C27" s="175" t="s">
        <v>460</v>
      </c>
      <c r="D27" s="442">
        <v>532</v>
      </c>
      <c r="E27" s="170"/>
      <c r="F27" s="89"/>
      <c r="G27" s="178">
        <v>36996000</v>
      </c>
      <c r="H27" s="178"/>
      <c r="I27" s="178"/>
      <c r="J27" s="178">
        <v>2483259</v>
      </c>
      <c r="K27" s="178"/>
      <c r="L27" s="178"/>
      <c r="M27" s="179">
        <v>2507000</v>
      </c>
      <c r="N27" s="178">
        <v>-23741</v>
      </c>
      <c r="O27" s="178"/>
      <c r="P27" s="110"/>
      <c r="Q27" s="111">
        <v>-0.94698843238931008</v>
      </c>
      <c r="R27" s="109"/>
      <c r="S27" s="109"/>
      <c r="T27" s="178">
        <v>22231913</v>
      </c>
      <c r="U27" s="178"/>
      <c r="V27" s="179"/>
      <c r="W27" s="178">
        <v>23503000</v>
      </c>
      <c r="X27" s="178"/>
      <c r="Y27" s="178"/>
      <c r="Z27" s="178"/>
      <c r="AA27" s="178">
        <v>-1271087</v>
      </c>
      <c r="AB27" s="109"/>
      <c r="AC27" s="111"/>
      <c r="AD27" s="111">
        <v>-5.408190443773135</v>
      </c>
      <c r="AF27" s="85">
        <v>15</v>
      </c>
    </row>
    <row r="28" spans="3:33" ht="15">
      <c r="C28" s="170" t="s">
        <v>169</v>
      </c>
      <c r="D28" s="442" t="s">
        <v>400</v>
      </c>
      <c r="E28" s="89"/>
      <c r="F28" s="89"/>
      <c r="G28" s="178">
        <v>-1709000</v>
      </c>
      <c r="H28" s="178"/>
      <c r="I28" s="178"/>
      <c r="J28" s="178">
        <v>23741</v>
      </c>
      <c r="K28" s="179"/>
      <c r="L28" s="179"/>
      <c r="M28" s="179"/>
      <c r="N28" s="179">
        <v>23741</v>
      </c>
      <c r="O28" s="179"/>
      <c r="P28" s="109"/>
      <c r="Q28" s="111"/>
      <c r="R28" s="109"/>
      <c r="S28" s="109"/>
      <c r="T28" s="178">
        <v>-708211</v>
      </c>
      <c r="U28" s="178"/>
      <c r="V28" s="179"/>
      <c r="W28" s="178">
        <v>-1709000</v>
      </c>
      <c r="X28" s="178"/>
      <c r="Y28" s="178"/>
      <c r="Z28" s="178"/>
      <c r="AA28" s="178">
        <v>1000789</v>
      </c>
      <c r="AB28" s="109"/>
      <c r="AC28" s="111"/>
      <c r="AD28" s="111">
        <v>-58.559918080748979</v>
      </c>
      <c r="AF28" s="85">
        <v>18</v>
      </c>
      <c r="AG28" s="215" t="str">
        <f t="shared" si="0"/>
        <v/>
      </c>
    </row>
    <row r="29" spans="3:33" ht="15">
      <c r="C29" s="170" t="s">
        <v>24</v>
      </c>
      <c r="D29" s="442" t="s">
        <v>401</v>
      </c>
      <c r="E29" s="89"/>
      <c r="F29" s="89"/>
      <c r="G29" s="178">
        <v>2040762</v>
      </c>
      <c r="H29" s="178"/>
      <c r="I29" s="178"/>
      <c r="J29" s="178"/>
      <c r="K29" s="179"/>
      <c r="L29" s="179"/>
      <c r="M29" s="179"/>
      <c r="N29" s="179"/>
      <c r="O29" s="179"/>
      <c r="P29" s="109"/>
      <c r="Q29" s="111"/>
      <c r="R29" s="109"/>
      <c r="S29" s="109"/>
      <c r="T29" s="178">
        <v>2344442</v>
      </c>
      <c r="U29" s="178"/>
      <c r="V29" s="179"/>
      <c r="W29" s="178">
        <v>2040762</v>
      </c>
      <c r="X29" s="178"/>
      <c r="Y29" s="178"/>
      <c r="Z29" s="178"/>
      <c r="AA29" s="178">
        <v>303680</v>
      </c>
      <c r="AB29" s="109"/>
      <c r="AC29" s="111"/>
      <c r="AD29" s="111">
        <v>14.880716124663241</v>
      </c>
      <c r="AG29" s="215" t="str">
        <f t="shared" si="0"/>
        <v/>
      </c>
    </row>
    <row r="30" spans="3:33" ht="15">
      <c r="C30" s="88" t="s">
        <v>25</v>
      </c>
      <c r="D30" s="442">
        <v>72</v>
      </c>
      <c r="E30" s="89"/>
      <c r="F30" s="89"/>
      <c r="G30" s="178"/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/>
      <c r="U30" s="178"/>
      <c r="V30" s="179"/>
      <c r="W30" s="178"/>
      <c r="X30" s="178"/>
      <c r="Y30" s="178"/>
      <c r="Z30" s="178"/>
      <c r="AA30" s="178"/>
      <c r="AB30" s="109"/>
      <c r="AC30" s="111"/>
      <c r="AD30" s="111"/>
      <c r="AG30" s="215" t="str">
        <f t="shared" si="0"/>
        <v/>
      </c>
    </row>
    <row r="31" spans="3:33" ht="15">
      <c r="C31" s="88" t="s">
        <v>26</v>
      </c>
      <c r="D31" s="442" t="s">
        <v>402</v>
      </c>
      <c r="E31" s="89"/>
      <c r="F31" s="89"/>
      <c r="G31" s="178">
        <v>331762</v>
      </c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>
        <v>1636231</v>
      </c>
      <c r="U31" s="178"/>
      <c r="V31" s="179"/>
      <c r="W31" s="178">
        <v>331762</v>
      </c>
      <c r="X31" s="178"/>
      <c r="Y31" s="178"/>
      <c r="Z31" s="178"/>
      <c r="AA31" s="178">
        <v>1304469</v>
      </c>
      <c r="AB31" s="109"/>
      <c r="AC31" s="111"/>
      <c r="AD31" s="111">
        <v>393.1942175414905</v>
      </c>
      <c r="AG31" s="215" t="str">
        <f t="shared" si="0"/>
        <v/>
      </c>
    </row>
    <row r="32" spans="3:33" ht="15" hidden="1" customHeight="1">
      <c r="C32" s="88"/>
      <c r="D32" s="443"/>
      <c r="E32" s="89"/>
      <c r="F32" s="89"/>
      <c r="G32" s="179"/>
      <c r="H32" s="179"/>
      <c r="I32" s="179"/>
      <c r="J32" s="179"/>
      <c r="K32" s="179"/>
      <c r="L32" s="179"/>
      <c r="M32" s="179"/>
      <c r="N32" s="179"/>
      <c r="O32" s="179"/>
      <c r="P32" s="109"/>
      <c r="Q32" s="109"/>
      <c r="R32" s="109"/>
      <c r="S32" s="109"/>
      <c r="T32" s="179"/>
      <c r="U32" s="179"/>
      <c r="V32" s="179"/>
      <c r="W32" s="179"/>
      <c r="X32" s="179"/>
      <c r="Y32" s="179"/>
      <c r="Z32" s="179"/>
      <c r="AA32" s="179"/>
      <c r="AB32" s="109"/>
      <c r="AC32" s="109"/>
      <c r="AD32" s="109"/>
      <c r="AG32" s="215" t="str">
        <f t="shared" si="0"/>
        <v/>
      </c>
    </row>
    <row r="33" spans="2:33" ht="15" hidden="1" customHeight="1">
      <c r="C33" s="88"/>
      <c r="D33" s="443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>
      <c r="C34" s="88"/>
      <c r="D34" s="443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>
      <c r="C35" s="88"/>
      <c r="D35" s="443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>
      <c r="C36" s="88"/>
      <c r="D36" s="443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>
      <c r="C37" s="88"/>
      <c r="D37" s="443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>
      <c r="C38" s="88"/>
      <c r="D38" s="443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>
      <c r="C39" s="88"/>
      <c r="D39" s="443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>
      <c r="C40" s="88"/>
      <c r="D40" s="443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>
      <c r="C41" s="88"/>
      <c r="D41" s="443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>
      <c r="C42" s="88"/>
      <c r="D42" s="443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>
      <c r="C43" s="88"/>
      <c r="D43" s="443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>
      <c r="C44" s="172"/>
      <c r="D44" s="444"/>
      <c r="E44" s="173"/>
      <c r="F44" s="173"/>
      <c r="G44" s="180"/>
      <c r="H44" s="180"/>
      <c r="I44" s="180"/>
      <c r="J44" s="180"/>
      <c r="K44" s="180"/>
      <c r="L44" s="180"/>
      <c r="M44" s="180"/>
      <c r="N44" s="180"/>
      <c r="O44" s="180"/>
      <c r="P44" s="112"/>
      <c r="Q44" s="112"/>
      <c r="R44" s="112"/>
      <c r="S44" s="112"/>
      <c r="T44" s="180"/>
      <c r="U44" s="180"/>
      <c r="V44" s="180"/>
      <c r="W44" s="180"/>
      <c r="X44" s="180"/>
      <c r="Y44" s="180"/>
      <c r="Z44" s="180"/>
      <c r="AA44" s="180"/>
      <c r="AB44" s="112"/>
      <c r="AC44" s="112"/>
      <c r="AD44" s="112"/>
      <c r="AG44" s="215" t="str">
        <f t="shared" si="0"/>
        <v/>
      </c>
    </row>
    <row r="45" spans="2:33" ht="7.5" customHeight="1"/>
    <row r="46" spans="2:33" ht="12" customHeight="1">
      <c r="B46" s="171"/>
    </row>
    <row r="47" spans="2:33" ht="43.5" customHeight="1"/>
  </sheetData>
  <sortState ref="A16:AM48">
    <sortCondition ref="AF16:AF48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4">
    <cfRule type="expression" dxfId="6" priority="12">
      <formula>AND(T16&gt;0,W16=0)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A25" sqref="A25:XFD25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9.3320312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3.2" hidden="1" customHeight="1"/>
    <row r="2" spans="1:22" ht="22.2">
      <c r="A2" s="662" t="str">
        <f>封面!$A$4</f>
        <v>彰化縣地方教育發展基金－彰化縣秀水鄉馬興國民小學</v>
      </c>
      <c r="B2" s="662"/>
      <c r="C2" s="662"/>
      <c r="D2" s="662"/>
      <c r="E2" s="662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  <c r="Q2" s="662"/>
      <c r="R2" s="662"/>
      <c r="S2" s="662"/>
      <c r="T2" s="662"/>
      <c r="U2" s="662"/>
      <c r="V2" s="662"/>
    </row>
    <row r="3" spans="1:22" ht="22.2">
      <c r="A3" s="664" t="s">
        <v>0</v>
      </c>
      <c r="B3" s="664"/>
      <c r="C3" s="664"/>
      <c r="D3" s="664"/>
      <c r="E3" s="664"/>
      <c r="F3" s="664"/>
      <c r="G3" s="664"/>
      <c r="H3" s="664"/>
      <c r="I3" s="664"/>
      <c r="J3" s="664"/>
      <c r="K3" s="664"/>
      <c r="L3" s="664"/>
      <c r="M3" s="664"/>
      <c r="N3" s="664"/>
      <c r="O3" s="664"/>
      <c r="P3" s="664"/>
      <c r="Q3" s="664"/>
      <c r="R3" s="664"/>
      <c r="S3" s="664"/>
      <c r="T3" s="664"/>
      <c r="U3" s="664"/>
      <c r="V3" s="664"/>
    </row>
    <row r="4" spans="1:22" ht="19.8">
      <c r="A4" s="665" t="str">
        <f>封面!$E$10&amp;封面!$H$10&amp;封面!$I$10&amp;封面!$J$10&amp;封面!$K$10&amp;封面!$O$10&amp;"日"</f>
        <v>中華民國111年7月31日</v>
      </c>
      <c r="B4" s="665"/>
      <c r="C4" s="665"/>
      <c r="D4" s="665"/>
      <c r="E4" s="665"/>
      <c r="F4" s="665"/>
      <c r="G4" s="665"/>
      <c r="H4" s="665"/>
      <c r="I4" s="665"/>
      <c r="J4" s="665"/>
      <c r="K4" s="665"/>
      <c r="L4" s="665"/>
      <c r="M4" s="665"/>
      <c r="N4" s="665"/>
      <c r="O4" s="665"/>
      <c r="P4" s="665"/>
      <c r="Q4" s="665"/>
      <c r="R4" s="665"/>
      <c r="S4" s="665"/>
      <c r="T4" s="665"/>
      <c r="U4" s="665"/>
      <c r="V4" s="665"/>
    </row>
    <row r="5" spans="1:22" ht="2.25" customHeight="1"/>
    <row r="6" spans="1:22" ht="15.75" customHeight="1">
      <c r="A6" s="663" t="s">
        <v>1</v>
      </c>
      <c r="B6" s="663"/>
      <c r="C6" s="663"/>
      <c r="D6" s="663"/>
      <c r="E6" s="663"/>
      <c r="F6" s="663"/>
      <c r="G6" s="663"/>
      <c r="H6" s="663"/>
      <c r="I6" s="663"/>
      <c r="J6" s="663"/>
      <c r="K6" s="663"/>
      <c r="L6" s="663"/>
      <c r="M6" s="663"/>
      <c r="N6" s="663"/>
      <c r="O6" s="663"/>
      <c r="P6" s="663"/>
      <c r="Q6" s="663"/>
      <c r="R6" s="663"/>
      <c r="S6" s="663"/>
      <c r="T6" s="663"/>
      <c r="U6" s="663"/>
      <c r="V6" s="663"/>
    </row>
    <row r="7" spans="1:22" ht="2.25" customHeight="1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13.8" hidden="1" customHeight="1">
      <c r="A8" s="653" t="s">
        <v>2</v>
      </c>
      <c r="B8" s="653"/>
      <c r="C8" s="653"/>
      <c r="D8" s="653"/>
      <c r="E8" s="653"/>
      <c r="F8" s="653"/>
      <c r="G8" s="338"/>
      <c r="H8" s="1"/>
      <c r="I8" s="1"/>
      <c r="J8" s="462"/>
      <c r="K8" s="666" t="s">
        <v>3</v>
      </c>
      <c r="L8" s="666"/>
      <c r="M8" s="666"/>
      <c r="N8" s="666"/>
      <c r="O8" s="666"/>
      <c r="P8" s="666"/>
      <c r="Q8" s="667"/>
      <c r="R8" s="338"/>
      <c r="S8" s="338"/>
      <c r="T8" s="338"/>
      <c r="U8" s="1"/>
      <c r="V8" s="1"/>
    </row>
    <row r="9" spans="1:22" ht="18" customHeight="1">
      <c r="A9" s="653"/>
      <c r="B9" s="653"/>
      <c r="C9" s="653"/>
      <c r="D9" s="653"/>
      <c r="E9" s="653"/>
      <c r="F9" s="653"/>
      <c r="G9" s="338"/>
      <c r="H9" s="653" t="s">
        <v>4</v>
      </c>
      <c r="I9" s="653" t="s">
        <v>5</v>
      </c>
      <c r="J9" s="462"/>
      <c r="K9" s="666"/>
      <c r="L9" s="666"/>
      <c r="M9" s="666"/>
      <c r="N9" s="666"/>
      <c r="O9" s="666"/>
      <c r="P9" s="666"/>
      <c r="Q9" s="667"/>
      <c r="R9" s="338"/>
      <c r="S9" s="338"/>
      <c r="T9" s="649" t="s">
        <v>4</v>
      </c>
      <c r="U9" s="650"/>
      <c r="V9" s="653" t="s">
        <v>5</v>
      </c>
    </row>
    <row r="10" spans="1:22" ht="13.2" hidden="1" customHeight="1">
      <c r="A10" s="1"/>
      <c r="B10" s="1"/>
      <c r="C10" s="1"/>
      <c r="D10" s="1"/>
      <c r="E10" s="1"/>
      <c r="F10" s="1"/>
      <c r="G10" s="1"/>
      <c r="H10" s="653"/>
      <c r="I10" s="653"/>
      <c r="J10" s="1"/>
      <c r="K10" s="1"/>
      <c r="L10" s="1"/>
      <c r="M10" s="1"/>
      <c r="N10" s="1"/>
      <c r="O10" s="1"/>
      <c r="P10" s="1"/>
      <c r="Q10" s="1"/>
      <c r="R10" s="1"/>
      <c r="S10" s="1"/>
      <c r="T10" s="651"/>
      <c r="U10" s="651"/>
      <c r="V10" s="653"/>
    </row>
    <row r="11" spans="1:22" ht="18" customHeight="1">
      <c r="A11" s="653" t="s">
        <v>6</v>
      </c>
      <c r="B11" s="653"/>
      <c r="C11" s="653"/>
      <c r="D11" s="653"/>
      <c r="E11" s="653"/>
      <c r="F11" s="653" t="s">
        <v>7</v>
      </c>
      <c r="G11" s="338"/>
      <c r="H11" s="653"/>
      <c r="I11" s="653"/>
      <c r="J11" s="462"/>
      <c r="K11" s="666" t="s">
        <v>6</v>
      </c>
      <c r="L11" s="666"/>
      <c r="M11" s="666"/>
      <c r="N11" s="666"/>
      <c r="O11" s="667"/>
      <c r="P11" s="338"/>
      <c r="Q11" s="653" t="s">
        <v>7</v>
      </c>
      <c r="R11" s="338"/>
      <c r="S11" s="338"/>
      <c r="T11" s="652"/>
      <c r="U11" s="652"/>
      <c r="V11" s="653"/>
    </row>
    <row r="12" spans="1:22" ht="13.8" hidden="1">
      <c r="A12" s="653"/>
      <c r="B12" s="653"/>
      <c r="C12" s="653"/>
      <c r="D12" s="653"/>
      <c r="E12" s="653"/>
      <c r="F12" s="653"/>
      <c r="G12" s="338"/>
      <c r="H12" s="1"/>
      <c r="I12" s="1"/>
      <c r="J12" s="462"/>
      <c r="K12" s="666"/>
      <c r="L12" s="666"/>
      <c r="M12" s="666"/>
      <c r="N12" s="666"/>
      <c r="O12" s="667"/>
      <c r="P12" s="338"/>
      <c r="Q12" s="653"/>
      <c r="R12" s="338"/>
      <c r="S12" s="338"/>
      <c r="T12" s="338"/>
      <c r="U12" s="1"/>
      <c r="V12" s="1"/>
    </row>
    <row r="13" spans="1:22" ht="13.8">
      <c r="A13" s="123" t="s">
        <v>504</v>
      </c>
      <c r="B13" s="124"/>
      <c r="C13" s="401"/>
      <c r="D13" s="401"/>
      <c r="E13" s="402"/>
      <c r="F13" s="126" t="s">
        <v>505</v>
      </c>
      <c r="G13" s="126"/>
      <c r="H13" s="127">
        <v>56965329</v>
      </c>
      <c r="I13" s="334">
        <v>100</v>
      </c>
      <c r="J13" s="463"/>
      <c r="K13" s="124" t="s">
        <v>548</v>
      </c>
      <c r="L13" s="124"/>
      <c r="M13" s="124"/>
      <c r="N13" s="124"/>
      <c r="O13" s="125"/>
      <c r="P13" s="125"/>
      <c r="Q13" s="128" t="s">
        <v>549</v>
      </c>
      <c r="R13" s="126"/>
      <c r="S13" s="126"/>
      <c r="T13" s="660">
        <f>[2]Sheet1!T14:U14</f>
        <v>13187110</v>
      </c>
      <c r="U13" s="661"/>
      <c r="V13" s="506">
        <f>[2]Sheet1!V14</f>
        <v>23.149361605547824</v>
      </c>
    </row>
    <row r="14" spans="1:22" ht="13.8">
      <c r="A14" s="347"/>
      <c r="B14" s="130" t="s">
        <v>506</v>
      </c>
      <c r="C14" s="383"/>
      <c r="D14" s="383"/>
      <c r="E14" s="384"/>
      <c r="F14" s="136" t="s">
        <v>507</v>
      </c>
      <c r="G14" s="136"/>
      <c r="H14" s="133">
        <v>14823341</v>
      </c>
      <c r="I14" s="335">
        <v>26.021689438500392</v>
      </c>
      <c r="J14" s="140"/>
      <c r="K14" s="130"/>
      <c r="L14" s="130" t="s">
        <v>550</v>
      </c>
      <c r="M14" s="130"/>
      <c r="N14" s="130"/>
      <c r="O14" s="131"/>
      <c r="P14" s="131"/>
      <c r="Q14" s="134" t="s">
        <v>551</v>
      </c>
      <c r="R14" s="136"/>
      <c r="S14" s="136"/>
      <c r="T14" s="658">
        <f>[2]Sheet1!T15:U15</f>
        <v>10898950</v>
      </c>
      <c r="U14" s="659"/>
      <c r="V14" s="507">
        <f>[2]Sheet1!V15</f>
        <v>19.132602569538395</v>
      </c>
    </row>
    <row r="15" spans="1:22" ht="13.8">
      <c r="A15" s="347"/>
      <c r="B15" s="130"/>
      <c r="C15" s="383" t="s">
        <v>508</v>
      </c>
      <c r="D15" s="383"/>
      <c r="E15" s="384"/>
      <c r="F15" s="136" t="s">
        <v>509</v>
      </c>
      <c r="G15" s="136"/>
      <c r="H15" s="133">
        <v>14803221</v>
      </c>
      <c r="I15" s="335">
        <v>25.986369709196268</v>
      </c>
      <c r="J15" s="140"/>
      <c r="K15" s="130"/>
      <c r="L15" s="130"/>
      <c r="M15" s="130" t="s">
        <v>552</v>
      </c>
      <c r="N15" s="130"/>
      <c r="O15" s="131"/>
      <c r="P15" s="131"/>
      <c r="Q15" s="134" t="s">
        <v>553</v>
      </c>
      <c r="R15" s="136"/>
      <c r="S15" s="136"/>
      <c r="T15" s="658">
        <f>[2]Sheet1!T16:U16</f>
        <v>10898950</v>
      </c>
      <c r="U15" s="659"/>
      <c r="V15" s="507">
        <f>[2]Sheet1!V16</f>
        <v>19.132602569538395</v>
      </c>
    </row>
    <row r="16" spans="1:22" ht="13.8">
      <c r="A16" s="347"/>
      <c r="B16" s="130"/>
      <c r="C16" s="383"/>
      <c r="D16" s="383" t="s">
        <v>510</v>
      </c>
      <c r="E16" s="384"/>
      <c r="F16" s="136" t="s">
        <v>511</v>
      </c>
      <c r="G16" s="136"/>
      <c r="H16" s="133">
        <v>14763221</v>
      </c>
      <c r="I16" s="335">
        <v>25.916151559486298</v>
      </c>
      <c r="J16" s="140"/>
      <c r="K16" s="130"/>
      <c r="L16" s="130"/>
      <c r="M16" s="130"/>
      <c r="N16" s="130" t="s">
        <v>554</v>
      </c>
      <c r="O16" s="131"/>
      <c r="P16" s="131"/>
      <c r="Q16" s="134" t="s">
        <v>555</v>
      </c>
      <c r="R16" s="136"/>
      <c r="S16" s="136"/>
      <c r="T16" s="658">
        <f>[2]Sheet1!T17:U17</f>
        <v>10898950</v>
      </c>
      <c r="U16" s="659"/>
      <c r="V16" s="507">
        <f>[2]Sheet1!V17</f>
        <v>19.132602569538395</v>
      </c>
    </row>
    <row r="17" spans="1:22" ht="13.8">
      <c r="A17" s="347"/>
      <c r="B17" s="130"/>
      <c r="C17" s="383"/>
      <c r="D17" s="383"/>
      <c r="E17" s="384" t="s">
        <v>512</v>
      </c>
      <c r="F17" s="136" t="s">
        <v>513</v>
      </c>
      <c r="G17" s="136"/>
      <c r="H17" s="133">
        <v>1596231</v>
      </c>
      <c r="I17" s="335">
        <v>2.8021096832425911</v>
      </c>
      <c r="J17" s="140"/>
      <c r="K17" s="130"/>
      <c r="L17" s="130" t="s">
        <v>556</v>
      </c>
      <c r="M17" s="130"/>
      <c r="N17" s="130"/>
      <c r="O17" s="131"/>
      <c r="P17" s="131"/>
      <c r="Q17" s="134" t="s">
        <v>557</v>
      </c>
      <c r="R17" s="136"/>
      <c r="S17" s="136"/>
      <c r="T17" s="658">
        <f>[2]Sheet1!T18:U18</f>
        <v>2288160</v>
      </c>
      <c r="U17" s="659"/>
      <c r="V17" s="507">
        <f>[2]Sheet1!V18</f>
        <v>4.0167590360094296</v>
      </c>
    </row>
    <row r="18" spans="1:22" ht="13.8">
      <c r="A18" s="347"/>
      <c r="B18" s="130"/>
      <c r="C18" s="383"/>
      <c r="D18" s="383"/>
      <c r="E18" s="384" t="s">
        <v>514</v>
      </c>
      <c r="F18" s="136" t="s">
        <v>515</v>
      </c>
      <c r="G18" s="136"/>
      <c r="H18" s="133">
        <v>13166990</v>
      </c>
      <c r="I18" s="335">
        <v>23.114041876243704</v>
      </c>
      <c r="J18" s="140"/>
      <c r="K18" s="130"/>
      <c r="L18" s="130"/>
      <c r="M18" s="130" t="s">
        <v>558</v>
      </c>
      <c r="N18" s="130"/>
      <c r="O18" s="131"/>
      <c r="P18" s="131"/>
      <c r="Q18" s="134" t="s">
        <v>559</v>
      </c>
      <c r="R18" s="136"/>
      <c r="S18" s="136"/>
      <c r="T18" s="658">
        <f>[2]Sheet1!T19:U19</f>
        <v>2288160</v>
      </c>
      <c r="U18" s="659"/>
      <c r="V18" s="507">
        <f>[2]Sheet1!V19</f>
        <v>4.0167590360094296</v>
      </c>
    </row>
    <row r="19" spans="1:22" ht="13.8">
      <c r="A19" s="347"/>
      <c r="B19" s="130"/>
      <c r="C19" s="383"/>
      <c r="D19" s="383" t="s">
        <v>516</v>
      </c>
      <c r="E19" s="384"/>
      <c r="F19" s="136" t="s">
        <v>517</v>
      </c>
      <c r="G19" s="136"/>
      <c r="H19" s="133">
        <v>40000</v>
      </c>
      <c r="I19" s="335">
        <v>7.0218149709975364E-2</v>
      </c>
      <c r="J19" s="140"/>
      <c r="K19" s="130"/>
      <c r="L19" s="130"/>
      <c r="M19" s="130"/>
      <c r="N19" s="130" t="s">
        <v>560</v>
      </c>
      <c r="O19" s="131"/>
      <c r="P19" s="131"/>
      <c r="Q19" s="134" t="s">
        <v>561</v>
      </c>
      <c r="R19" s="136"/>
      <c r="S19" s="136"/>
      <c r="T19" s="658">
        <f>[2]Sheet1!T20:U20</f>
        <v>2288160</v>
      </c>
      <c r="U19" s="659"/>
      <c r="V19" s="507">
        <f>[2]Sheet1!V20</f>
        <v>4.0167590360094296</v>
      </c>
    </row>
    <row r="20" spans="1:22" ht="13.8">
      <c r="A20" s="347"/>
      <c r="B20" s="130"/>
      <c r="C20" s="383" t="s">
        <v>518</v>
      </c>
      <c r="D20" s="383"/>
      <c r="E20" s="384"/>
      <c r="F20" s="136" t="s">
        <v>519</v>
      </c>
      <c r="G20" s="136"/>
      <c r="H20" s="133">
        <v>20120</v>
      </c>
      <c r="I20" s="335">
        <v>3.53197293041176E-2</v>
      </c>
      <c r="J20" s="140"/>
      <c r="K20" s="130" t="s">
        <v>562</v>
      </c>
      <c r="L20" s="130"/>
      <c r="M20" s="130"/>
      <c r="N20" s="130"/>
      <c r="O20" s="131"/>
      <c r="P20" s="131"/>
      <c r="Q20" s="134" t="s">
        <v>563</v>
      </c>
      <c r="R20" s="136"/>
      <c r="S20" s="136"/>
      <c r="T20" s="658">
        <f>[2]Sheet1!T21:U21</f>
        <v>43778219</v>
      </c>
      <c r="U20" s="659"/>
      <c r="V20" s="507">
        <f>[2]Sheet1!V21</f>
        <v>76.850638394452176</v>
      </c>
    </row>
    <row r="21" spans="1:22" ht="13.8">
      <c r="A21" s="347"/>
      <c r="B21" s="130"/>
      <c r="C21" s="383"/>
      <c r="D21" s="383" t="s">
        <v>520</v>
      </c>
      <c r="E21" s="384"/>
      <c r="F21" s="136" t="s">
        <v>521</v>
      </c>
      <c r="G21" s="136"/>
      <c r="H21" s="133">
        <v>20120</v>
      </c>
      <c r="I21" s="335">
        <v>3.53197293041176E-2</v>
      </c>
      <c r="J21" s="140"/>
      <c r="K21" s="130"/>
      <c r="L21" s="130" t="s">
        <v>562</v>
      </c>
      <c r="M21" s="130"/>
      <c r="N21" s="130"/>
      <c r="O21" s="131"/>
      <c r="P21" s="131"/>
      <c r="Q21" s="134" t="s">
        <v>564</v>
      </c>
      <c r="R21" s="136"/>
      <c r="S21" s="136"/>
      <c r="T21" s="658">
        <f>[2]Sheet1!T23:U23</f>
        <v>43778219</v>
      </c>
      <c r="U21" s="659"/>
      <c r="V21" s="507">
        <f>[2]Sheet1!V23</f>
        <v>76.850638394452176</v>
      </c>
    </row>
    <row r="22" spans="1:22" ht="13.8">
      <c r="A22" s="347"/>
      <c r="B22" s="130" t="s">
        <v>522</v>
      </c>
      <c r="C22" s="130"/>
      <c r="D22" s="130"/>
      <c r="E22" s="131"/>
      <c r="F22" s="136" t="s">
        <v>523</v>
      </c>
      <c r="G22" s="136"/>
      <c r="H22" s="133">
        <v>42141988</v>
      </c>
      <c r="I22" s="335">
        <v>73.978310561499626</v>
      </c>
      <c r="J22" s="140"/>
      <c r="K22" s="130"/>
      <c r="L22" s="130"/>
      <c r="M22" s="130" t="s">
        <v>562</v>
      </c>
      <c r="N22" s="130"/>
      <c r="O22" s="131"/>
      <c r="P22" s="131"/>
      <c r="Q22" s="134" t="s">
        <v>565</v>
      </c>
      <c r="R22" s="136"/>
      <c r="S22" s="136"/>
      <c r="T22" s="658">
        <f>[2]Sheet1!T25:U25</f>
        <v>43778219</v>
      </c>
      <c r="U22" s="659"/>
      <c r="V22" s="507">
        <f>[2]Sheet1!V25</f>
        <v>76.850638394452176</v>
      </c>
    </row>
    <row r="23" spans="1:22" ht="15">
      <c r="A23" s="129"/>
      <c r="B23" s="130"/>
      <c r="C23" s="130" t="s">
        <v>44</v>
      </c>
      <c r="D23" s="130"/>
      <c r="E23" s="131"/>
      <c r="F23" s="132" t="s">
        <v>524</v>
      </c>
      <c r="G23" s="132"/>
      <c r="H23" s="133">
        <v>11027358</v>
      </c>
      <c r="I23" s="335">
        <v>19.358016873737355</v>
      </c>
      <c r="J23" s="140"/>
      <c r="K23" s="135"/>
      <c r="L23" s="130"/>
      <c r="M23" s="130"/>
      <c r="N23" s="130" t="s">
        <v>566</v>
      </c>
      <c r="O23" s="131"/>
      <c r="P23" s="131"/>
      <c r="Q23" s="134" t="s">
        <v>567</v>
      </c>
      <c r="R23" s="136"/>
      <c r="S23" s="136"/>
      <c r="T23" s="658">
        <f>[2]Sheet1!T26:U26</f>
        <v>42531681</v>
      </c>
      <c r="U23" s="659"/>
      <c r="V23" s="507">
        <f>[2]Sheet1!V26</f>
        <v>74.662398596872848</v>
      </c>
    </row>
    <row r="24" spans="1:22" ht="15">
      <c r="A24" s="129"/>
      <c r="B24" s="130"/>
      <c r="C24" s="130"/>
      <c r="D24" s="130" t="s">
        <v>44</v>
      </c>
      <c r="E24" s="131"/>
      <c r="F24" s="132" t="s">
        <v>525</v>
      </c>
      <c r="G24" s="132"/>
      <c r="H24" s="133">
        <v>11027358</v>
      </c>
      <c r="I24" s="335">
        <v>19.358016873737355</v>
      </c>
      <c r="J24" s="140"/>
      <c r="K24" s="135"/>
      <c r="L24" s="130"/>
      <c r="M24" s="130"/>
      <c r="N24" s="130" t="s">
        <v>568</v>
      </c>
      <c r="O24" s="131"/>
      <c r="P24" s="131"/>
      <c r="Q24" s="134" t="s">
        <v>569</v>
      </c>
      <c r="R24" s="136"/>
      <c r="S24" s="136"/>
      <c r="T24" s="658">
        <f>[2]Sheet1!T28:U28</f>
        <v>1246538</v>
      </c>
      <c r="U24" s="659"/>
      <c r="V24" s="507">
        <f>[2]Sheet1!V28</f>
        <v>2.1882397975793313</v>
      </c>
    </row>
    <row r="25" spans="1:22" ht="15">
      <c r="A25" s="129"/>
      <c r="B25" s="130"/>
      <c r="C25" s="130" t="s">
        <v>45</v>
      </c>
      <c r="D25" s="130"/>
      <c r="E25" s="131"/>
      <c r="F25" s="132" t="s">
        <v>526</v>
      </c>
      <c r="G25" s="132"/>
      <c r="H25" s="133">
        <v>2905332</v>
      </c>
      <c r="I25" s="335">
        <v>5.1001759333295524</v>
      </c>
      <c r="J25" s="140"/>
      <c r="K25" s="135" t="s">
        <v>547</v>
      </c>
      <c r="L25" s="130"/>
      <c r="M25" s="130"/>
      <c r="N25" s="130"/>
      <c r="O25" s="131"/>
      <c r="P25" s="131"/>
      <c r="Q25" s="134"/>
      <c r="R25" s="136"/>
      <c r="S25" s="136"/>
      <c r="T25" s="658">
        <f>[2]Sheet1!T29:U29</f>
        <v>56965329</v>
      </c>
      <c r="U25" s="659"/>
      <c r="V25" s="507">
        <f>[2]Sheet1!V29</f>
        <v>0</v>
      </c>
    </row>
    <row r="26" spans="1:22" ht="15">
      <c r="A26" s="129"/>
      <c r="B26" s="130"/>
      <c r="C26" s="130"/>
      <c r="D26" s="130" t="s">
        <v>45</v>
      </c>
      <c r="E26" s="131"/>
      <c r="F26" s="132" t="s">
        <v>527</v>
      </c>
      <c r="G26" s="132"/>
      <c r="H26" s="133">
        <v>5137300</v>
      </c>
      <c r="I26" s="335">
        <v>9.0182925126264077</v>
      </c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654"/>
      <c r="U26" s="655"/>
      <c r="V26" s="507"/>
    </row>
    <row r="27" spans="1:22" ht="15">
      <c r="A27" s="129"/>
      <c r="B27" s="130"/>
      <c r="C27" s="130"/>
      <c r="D27" s="130" t="s">
        <v>528</v>
      </c>
      <c r="E27" s="131"/>
      <c r="F27" s="132" t="s">
        <v>529</v>
      </c>
      <c r="G27" s="132"/>
      <c r="H27" s="133">
        <v>-2231968</v>
      </c>
      <c r="I27" s="335">
        <v>-3.9181165792968562</v>
      </c>
      <c r="J27" s="140"/>
      <c r="K27" s="135"/>
      <c r="L27" s="130"/>
      <c r="M27" s="130"/>
      <c r="N27" s="130"/>
      <c r="O27" s="131"/>
      <c r="P27" s="131"/>
      <c r="Q27" s="134"/>
      <c r="R27" s="136"/>
      <c r="S27" s="136"/>
      <c r="T27" s="654"/>
      <c r="U27" s="655"/>
      <c r="V27" s="507"/>
    </row>
    <row r="28" spans="1:22" ht="15">
      <c r="A28" s="129"/>
      <c r="B28" s="130"/>
      <c r="C28" s="130" t="s">
        <v>530</v>
      </c>
      <c r="D28" s="130"/>
      <c r="E28" s="131"/>
      <c r="F28" s="132" t="s">
        <v>531</v>
      </c>
      <c r="G28" s="132"/>
      <c r="H28" s="133">
        <v>22772203</v>
      </c>
      <c r="I28" s="335">
        <v>39.975548986998739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54"/>
      <c r="U28" s="655"/>
      <c r="V28" s="507"/>
    </row>
    <row r="29" spans="1:22" ht="15">
      <c r="A29" s="129"/>
      <c r="B29" s="130"/>
      <c r="C29" s="130"/>
      <c r="D29" s="130" t="s">
        <v>530</v>
      </c>
      <c r="E29" s="131"/>
      <c r="F29" s="132" t="s">
        <v>532</v>
      </c>
      <c r="G29" s="132"/>
      <c r="H29" s="133">
        <v>48434327</v>
      </c>
      <c r="I29" s="335">
        <v>85.024220609697537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54"/>
      <c r="U29" s="655"/>
      <c r="V29" s="507"/>
    </row>
    <row r="30" spans="1:22" ht="15">
      <c r="A30" s="129"/>
      <c r="B30" s="130"/>
      <c r="C30" s="130"/>
      <c r="D30" s="130" t="s">
        <v>533</v>
      </c>
      <c r="E30" s="131"/>
      <c r="F30" s="132" t="s">
        <v>534</v>
      </c>
      <c r="G30" s="132"/>
      <c r="H30" s="133">
        <v>-25662124</v>
      </c>
      <c r="I30" s="335">
        <v>-45.048671622698784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54"/>
      <c r="U30" s="655"/>
      <c r="V30" s="507"/>
    </row>
    <row r="31" spans="1:22" ht="13.8">
      <c r="A31" s="129"/>
      <c r="B31" s="135"/>
      <c r="C31" s="130" t="s">
        <v>47</v>
      </c>
      <c r="D31" s="130"/>
      <c r="E31" s="131"/>
      <c r="F31" s="136" t="s">
        <v>535</v>
      </c>
      <c r="G31" s="136"/>
      <c r="H31" s="133">
        <v>1711807</v>
      </c>
      <c r="I31" s="335">
        <v>3.0049980050145946</v>
      </c>
      <c r="J31" s="140"/>
      <c r="K31" s="135"/>
      <c r="L31" s="135"/>
      <c r="M31" s="130"/>
      <c r="N31" s="130"/>
      <c r="O31" s="131"/>
      <c r="P31" s="131"/>
      <c r="Q31" s="134"/>
      <c r="R31" s="136"/>
      <c r="S31" s="136"/>
      <c r="T31" s="654"/>
      <c r="U31" s="655"/>
      <c r="V31" s="507"/>
    </row>
    <row r="32" spans="1:22" ht="13.8">
      <c r="A32" s="129"/>
      <c r="B32" s="135"/>
      <c r="C32" s="135"/>
      <c r="D32" s="135" t="s">
        <v>47</v>
      </c>
      <c r="E32" s="131"/>
      <c r="F32" s="136" t="s">
        <v>536</v>
      </c>
      <c r="G32" s="136"/>
      <c r="H32" s="133">
        <v>5834566</v>
      </c>
      <c r="I32" s="335">
        <v>10.242310722018299</v>
      </c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54"/>
      <c r="U32" s="655"/>
      <c r="V32" s="507"/>
    </row>
    <row r="33" spans="1:22" ht="13.8">
      <c r="A33" s="129"/>
      <c r="B33" s="135"/>
      <c r="C33" s="135"/>
      <c r="D33" s="135" t="s">
        <v>537</v>
      </c>
      <c r="E33" s="131"/>
      <c r="F33" s="136" t="s">
        <v>538</v>
      </c>
      <c r="G33" s="136"/>
      <c r="H33" s="133">
        <v>-4122759</v>
      </c>
      <c r="I33" s="335">
        <v>-7.2373127170037064</v>
      </c>
      <c r="J33" s="140"/>
      <c r="K33" s="135"/>
      <c r="L33" s="135"/>
      <c r="M33" s="130"/>
      <c r="N33" s="130"/>
      <c r="O33" s="131"/>
      <c r="P33" s="131"/>
      <c r="Q33" s="134"/>
      <c r="R33" s="136"/>
      <c r="S33" s="136"/>
      <c r="T33" s="654"/>
      <c r="U33" s="655"/>
      <c r="V33" s="507"/>
    </row>
    <row r="34" spans="1:22" ht="13.8">
      <c r="A34" s="129"/>
      <c r="B34" s="135"/>
      <c r="C34" s="135" t="s">
        <v>48</v>
      </c>
      <c r="D34" s="130"/>
      <c r="E34" s="131"/>
      <c r="F34" s="136" t="s">
        <v>539</v>
      </c>
      <c r="G34" s="136"/>
      <c r="H34" s="133">
        <v>161058</v>
      </c>
      <c r="I34" s="335">
        <v>0.28272986889973023</v>
      </c>
      <c r="J34" s="140"/>
      <c r="K34" s="135"/>
      <c r="L34" s="135"/>
      <c r="M34" s="135"/>
      <c r="N34" s="130"/>
      <c r="O34" s="131"/>
      <c r="P34" s="131"/>
      <c r="Q34" s="134"/>
      <c r="R34" s="136"/>
      <c r="S34" s="136"/>
      <c r="T34" s="654"/>
      <c r="U34" s="655"/>
      <c r="V34" s="507"/>
    </row>
    <row r="35" spans="1:22" ht="13.8">
      <c r="A35" s="129"/>
      <c r="B35" s="135"/>
      <c r="C35" s="130"/>
      <c r="D35" s="130" t="s">
        <v>48</v>
      </c>
      <c r="E35" s="131"/>
      <c r="F35" s="136" t="s">
        <v>540</v>
      </c>
      <c r="G35" s="136"/>
      <c r="H35" s="133">
        <v>634500</v>
      </c>
      <c r="I35" s="335">
        <v>1.1138353997744839</v>
      </c>
      <c r="J35" s="140"/>
      <c r="K35" s="135"/>
      <c r="L35" s="135"/>
      <c r="M35" s="135"/>
      <c r="N35" s="130"/>
      <c r="O35" s="131"/>
      <c r="P35" s="131"/>
      <c r="Q35" s="134"/>
      <c r="R35" s="136"/>
      <c r="S35" s="136"/>
      <c r="T35" s="654"/>
      <c r="U35" s="655"/>
      <c r="V35" s="507"/>
    </row>
    <row r="36" spans="1:22" s="348" customFormat="1" ht="13.8">
      <c r="A36" s="129"/>
      <c r="B36" s="135"/>
      <c r="C36" s="135"/>
      <c r="D36" s="130" t="s">
        <v>541</v>
      </c>
      <c r="E36" s="131"/>
      <c r="F36" s="136" t="s">
        <v>542</v>
      </c>
      <c r="G36" s="136"/>
      <c r="H36" s="133">
        <v>-473442</v>
      </c>
      <c r="I36" s="335">
        <v>-0.8311055308747537</v>
      </c>
      <c r="J36" s="140"/>
      <c r="K36" s="137"/>
      <c r="L36" s="137"/>
      <c r="M36" s="137"/>
      <c r="N36" s="137"/>
      <c r="O36" s="138"/>
      <c r="P36" s="138"/>
      <c r="Q36" s="139"/>
      <c r="R36" s="349"/>
      <c r="S36" s="349"/>
      <c r="T36" s="654"/>
      <c r="U36" s="655"/>
      <c r="V36" s="507"/>
    </row>
    <row r="37" spans="1:22" ht="13.8">
      <c r="A37" s="129"/>
      <c r="B37" s="137"/>
      <c r="C37" s="137" t="s">
        <v>203</v>
      </c>
      <c r="D37" s="137"/>
      <c r="E37" s="138"/>
      <c r="F37" s="140" t="s">
        <v>543</v>
      </c>
      <c r="G37" s="140"/>
      <c r="H37" s="141">
        <v>3564230</v>
      </c>
      <c r="I37" s="336">
        <v>6.2568408935196347</v>
      </c>
      <c r="J37" s="140"/>
      <c r="K37" s="135"/>
      <c r="L37" s="135"/>
      <c r="M37" s="137"/>
      <c r="N37" s="137"/>
      <c r="O37" s="138"/>
      <c r="P37" s="138"/>
      <c r="Q37" s="139"/>
      <c r="R37" s="349"/>
      <c r="S37" s="349"/>
      <c r="T37" s="654"/>
      <c r="U37" s="655"/>
      <c r="V37" s="507"/>
    </row>
    <row r="38" spans="1:22" ht="13.8">
      <c r="A38" s="129"/>
      <c r="B38" s="135"/>
      <c r="C38" s="130"/>
      <c r="D38" s="130" t="s">
        <v>203</v>
      </c>
      <c r="E38" s="131"/>
      <c r="F38" s="136" t="s">
        <v>544</v>
      </c>
      <c r="G38" s="136"/>
      <c r="H38" s="133">
        <v>7155591</v>
      </c>
      <c r="I38" s="335">
        <v>12.561309002533804</v>
      </c>
      <c r="J38" s="140"/>
      <c r="K38" s="135"/>
      <c r="L38" s="135"/>
      <c r="M38" s="135"/>
      <c r="N38" s="137"/>
      <c r="O38" s="138"/>
      <c r="P38" s="138"/>
      <c r="Q38" s="139"/>
      <c r="R38" s="349"/>
      <c r="S38" s="349"/>
      <c r="T38" s="654"/>
      <c r="U38" s="655"/>
      <c r="V38" s="507"/>
    </row>
    <row r="39" spans="1:22" ht="15">
      <c r="A39" s="129"/>
      <c r="B39" s="137"/>
      <c r="C39" s="137"/>
      <c r="D39" s="137" t="s">
        <v>545</v>
      </c>
      <c r="E39" s="138"/>
      <c r="F39" s="132" t="s">
        <v>546</v>
      </c>
      <c r="G39" s="132"/>
      <c r="H39" s="133">
        <v>-3591361</v>
      </c>
      <c r="I39" s="335">
        <v>-6.3044681090141692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54"/>
      <c r="U39" s="655"/>
      <c r="V39" s="507"/>
    </row>
    <row r="40" spans="1:22" ht="15">
      <c r="A40" s="129" t="s">
        <v>547</v>
      </c>
      <c r="B40" s="137"/>
      <c r="C40" s="137"/>
      <c r="D40" s="137"/>
      <c r="E40" s="138"/>
      <c r="F40" s="132"/>
      <c r="G40" s="132"/>
      <c r="H40" s="133">
        <v>56965329</v>
      </c>
      <c r="I40" s="336"/>
      <c r="J40" s="140"/>
      <c r="K40" s="137"/>
      <c r="L40" s="137"/>
      <c r="M40" s="137"/>
      <c r="N40" s="137"/>
      <c r="O40" s="138"/>
      <c r="P40" s="138"/>
      <c r="Q40" s="141"/>
      <c r="R40" s="140"/>
      <c r="S40" s="140"/>
      <c r="T40" s="654"/>
      <c r="U40" s="655"/>
      <c r="V40" s="507"/>
    </row>
    <row r="41" spans="1:22" ht="13.8">
      <c r="A41" s="142"/>
      <c r="B41" s="143"/>
      <c r="C41" s="143"/>
      <c r="D41" s="143"/>
      <c r="E41" s="144"/>
      <c r="F41" s="145"/>
      <c r="G41" s="145"/>
      <c r="H41" s="146"/>
      <c r="I41" s="337"/>
      <c r="J41" s="145"/>
      <c r="K41" s="143"/>
      <c r="L41" s="143"/>
      <c r="M41" s="143"/>
      <c r="N41" s="143"/>
      <c r="O41" s="144"/>
      <c r="P41" s="144"/>
      <c r="Q41" s="146"/>
      <c r="R41" s="145"/>
      <c r="S41" s="145"/>
      <c r="T41" s="656"/>
      <c r="U41" s="657"/>
      <c r="V41" s="508"/>
    </row>
    <row r="42" spans="1:22" ht="14.25" customHeight="1">
      <c r="A42" s="646" t="s">
        <v>333</v>
      </c>
      <c r="B42" s="646"/>
      <c r="C42" s="646"/>
      <c r="D42" s="646"/>
      <c r="E42" s="646"/>
      <c r="F42" s="646"/>
      <c r="G42" s="647">
        <v>0</v>
      </c>
      <c r="H42" s="647"/>
      <c r="L42" s="646" t="s">
        <v>334</v>
      </c>
      <c r="M42" s="646"/>
      <c r="N42" s="646"/>
      <c r="O42" s="646"/>
      <c r="P42" s="646"/>
      <c r="Q42" s="646"/>
      <c r="R42" s="646"/>
      <c r="S42" s="647">
        <v>0</v>
      </c>
      <c r="T42" s="647"/>
      <c r="U42" s="647"/>
    </row>
    <row r="43" spans="1:22" ht="13.8">
      <c r="A43" s="648" t="s">
        <v>8</v>
      </c>
      <c r="B43" s="648"/>
      <c r="D43" s="558" t="s">
        <v>455</v>
      </c>
    </row>
  </sheetData>
  <mergeCells count="48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17:U17"/>
    <mergeCell ref="T18:U18"/>
    <mergeCell ref="T19:U19"/>
    <mergeCell ref="T20:U20"/>
    <mergeCell ref="T27:U27"/>
    <mergeCell ref="T28:U28"/>
    <mergeCell ref="T22:U22"/>
    <mergeCell ref="T23:U23"/>
    <mergeCell ref="T24:U24"/>
    <mergeCell ref="T25:U25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31:U31"/>
    <mergeCell ref="T26:U26"/>
    <mergeCell ref="A42:F42"/>
    <mergeCell ref="G42:H42"/>
    <mergeCell ref="L42:R42"/>
    <mergeCell ref="S42:U42"/>
    <mergeCell ref="A43:B43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A25" sqref="A25:XFD25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74" t="str">
        <f>封面!$A$4</f>
        <v>彰化縣地方教育發展基金－彰化縣秀水鄉馬興國民小學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6"/>
    </row>
    <row r="2" spans="1:13" ht="13.2">
      <c r="A2" s="675"/>
      <c r="B2" s="675"/>
      <c r="C2" s="675"/>
      <c r="D2" s="675"/>
      <c r="E2" s="675"/>
      <c r="F2" s="675"/>
      <c r="G2" s="675"/>
      <c r="H2" s="675"/>
      <c r="I2" s="675"/>
      <c r="J2" s="675"/>
      <c r="K2" s="675"/>
      <c r="L2" s="675"/>
      <c r="M2" s="676"/>
    </row>
    <row r="3" spans="1:13" ht="13.2">
      <c r="M3" s="230"/>
    </row>
    <row r="4" spans="1:13" ht="23.25" customHeight="1">
      <c r="A4" s="677" t="s">
        <v>27</v>
      </c>
      <c r="B4" s="677"/>
      <c r="C4" s="677"/>
      <c r="D4" s="677"/>
      <c r="E4" s="677"/>
      <c r="F4" s="677"/>
      <c r="G4" s="677"/>
      <c r="H4" s="677"/>
      <c r="I4" s="677"/>
      <c r="J4" s="677"/>
      <c r="K4" s="677"/>
      <c r="L4" s="677"/>
      <c r="M4" s="677"/>
    </row>
    <row r="5" spans="1:13" ht="2.25" customHeight="1">
      <c r="A5" s="677"/>
      <c r="B5" s="677"/>
      <c r="C5" s="677"/>
      <c r="D5" s="677"/>
      <c r="E5" s="677"/>
      <c r="F5" s="677"/>
      <c r="G5" s="677"/>
      <c r="H5" s="677"/>
      <c r="I5" s="677"/>
      <c r="J5" s="677"/>
      <c r="K5" s="677"/>
      <c r="L5" s="677"/>
      <c r="M5" s="677"/>
    </row>
    <row r="6" spans="1:13" ht="16.2">
      <c r="A6" s="678" t="str">
        <f>封面!$E$10&amp;封面!$H$10&amp;封面!$I$10&amp;封面!$J$10&amp;封面!$K$10&amp;封面!L10</f>
        <v>中華民國111年7月份</v>
      </c>
      <c r="B6" s="678"/>
      <c r="C6" s="678"/>
      <c r="D6" s="678"/>
      <c r="E6" s="678"/>
      <c r="F6" s="678"/>
      <c r="G6" s="678"/>
      <c r="H6" s="678"/>
      <c r="I6" s="678"/>
      <c r="J6" s="678"/>
      <c r="K6" s="678"/>
      <c r="L6" s="678"/>
      <c r="M6" s="678"/>
    </row>
    <row r="7" spans="1:13" ht="10.5" customHeight="1"/>
    <row r="8" spans="1:13" ht="16.2">
      <c r="A8" s="621" t="s">
        <v>1</v>
      </c>
      <c r="B8" s="621"/>
      <c r="C8" s="621"/>
      <c r="D8" s="621"/>
      <c r="E8" s="621"/>
      <c r="F8" s="621"/>
      <c r="G8" s="621"/>
      <c r="H8" s="621"/>
      <c r="I8" s="621"/>
      <c r="J8" s="621"/>
      <c r="K8" s="621"/>
      <c r="L8" s="621"/>
      <c r="M8" s="621"/>
    </row>
    <row r="9" spans="1:13" ht="1.5" customHeight="1"/>
    <row r="10" spans="1:13" s="5" customFormat="1" ht="32.25" customHeight="1">
      <c r="A10" s="16"/>
      <c r="B10" s="668" t="s">
        <v>28</v>
      </c>
      <c r="C10" s="669"/>
      <c r="D10" s="670" t="s">
        <v>29</v>
      </c>
      <c r="E10" s="673" t="s">
        <v>30</v>
      </c>
      <c r="F10" s="668"/>
      <c r="G10" s="668"/>
      <c r="H10" s="679" t="s">
        <v>208</v>
      </c>
      <c r="I10" s="680"/>
      <c r="J10" s="680"/>
      <c r="K10" s="680"/>
      <c r="L10" s="680"/>
      <c r="M10" s="229"/>
    </row>
    <row r="11" spans="1:13" s="5" customFormat="1" ht="16.5" hidden="1" customHeight="1">
      <c r="B11" s="681" t="s">
        <v>31</v>
      </c>
      <c r="C11" s="670" t="s">
        <v>32</v>
      </c>
      <c r="D11" s="671"/>
      <c r="E11" s="670" t="s">
        <v>33</v>
      </c>
      <c r="F11" s="670" t="s">
        <v>34</v>
      </c>
      <c r="G11" s="670" t="s">
        <v>35</v>
      </c>
      <c r="H11" s="670" t="s">
        <v>33</v>
      </c>
      <c r="I11" s="670" t="s">
        <v>34</v>
      </c>
      <c r="J11" s="685" t="s">
        <v>200</v>
      </c>
      <c r="K11" s="686"/>
      <c r="L11" s="687"/>
      <c r="M11" s="149"/>
    </row>
    <row r="12" spans="1:13" s="5" customFormat="1" ht="16.2">
      <c r="A12" s="16"/>
      <c r="B12" s="682"/>
      <c r="C12" s="683"/>
      <c r="D12" s="672"/>
      <c r="E12" s="683"/>
      <c r="F12" s="683"/>
      <c r="G12" s="683"/>
      <c r="H12" s="684"/>
      <c r="I12" s="684"/>
      <c r="J12" s="229" t="s">
        <v>201</v>
      </c>
      <c r="K12" s="231"/>
      <c r="L12" s="229" t="s">
        <v>202</v>
      </c>
      <c r="M12" s="229"/>
    </row>
    <row r="13" spans="1:13" ht="39.75" hidden="1" customHeight="1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22</v>
      </c>
      <c r="C15" s="395"/>
      <c r="D15" s="396" t="s">
        <v>36</v>
      </c>
      <c r="E15" s="397"/>
      <c r="F15" s="277"/>
      <c r="G15" s="278"/>
      <c r="H15" s="279">
        <v>2483259</v>
      </c>
      <c r="I15" s="279">
        <v>2507000</v>
      </c>
      <c r="J15" s="279">
        <v>-23741</v>
      </c>
      <c r="K15" s="279"/>
      <c r="L15" s="280">
        <v>-0.94698843238931008</v>
      </c>
      <c r="M15" s="147"/>
    </row>
    <row r="16" spans="1:13" ht="12.75" hidden="1" customHeight="1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>
      <c r="A17" s="8"/>
      <c r="B17" s="157"/>
      <c r="C17" s="398"/>
      <c r="D17" s="399" t="s">
        <v>37</v>
      </c>
      <c r="E17" s="397"/>
      <c r="F17" s="277"/>
      <c r="G17" s="278"/>
      <c r="H17" s="279">
        <v>22231913</v>
      </c>
      <c r="I17" s="279">
        <v>23503000</v>
      </c>
      <c r="J17" s="279">
        <v>-1271087</v>
      </c>
      <c r="K17" s="279"/>
      <c r="L17" s="280">
        <v>-5.408190443773135</v>
      </c>
      <c r="M17" s="147"/>
    </row>
    <row r="18" spans="1:13" ht="12.75" hidden="1" customHeight="1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>
      <c r="A20" s="12"/>
      <c r="B20" s="17" t="s">
        <v>23</v>
      </c>
      <c r="C20" s="395"/>
      <c r="D20" s="396" t="s">
        <v>36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>
      <c r="A22" s="8"/>
      <c r="B22" s="157"/>
      <c r="C22" s="398"/>
      <c r="D22" s="399" t="s">
        <v>37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A25" sqref="A25:XFD25"/>
    </sheetView>
  </sheetViews>
  <sheetFormatPr defaultColWidth="9.109375" defaultRowHeight="1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>
      <c r="A1" s="689" t="str">
        <f>封面!$A$4</f>
        <v>彰化縣地方教育發展基金－彰化縣秀水鄉馬興國民小學</v>
      </c>
      <c r="B1" s="689"/>
      <c r="C1" s="689"/>
      <c r="D1" s="689"/>
      <c r="E1" s="689"/>
      <c r="F1" s="689"/>
      <c r="G1" s="690"/>
      <c r="J1" s="241"/>
      <c r="K1" s="215"/>
    </row>
    <row r="2" spans="1:11" s="85" customFormat="1" ht="19.8" hidden="1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>
      <c r="A3" s="245"/>
      <c r="J3" s="241"/>
      <c r="K3" s="215"/>
    </row>
    <row r="4" spans="1:11" s="85" customFormat="1" ht="22.2">
      <c r="A4" s="693" t="s">
        <v>274</v>
      </c>
      <c r="B4" s="693"/>
      <c r="C4" s="693"/>
      <c r="D4" s="693"/>
      <c r="E4" s="693"/>
      <c r="F4" s="693"/>
      <c r="G4" s="690"/>
      <c r="J4" s="241"/>
      <c r="K4" s="215"/>
    </row>
    <row r="5" spans="1:11" s="85" customFormat="1" ht="6.75" customHeight="1">
      <c r="A5" s="245"/>
      <c r="J5" s="241"/>
      <c r="K5" s="215"/>
    </row>
    <row r="6" spans="1:11" s="85" customFormat="1" ht="16.2">
      <c r="A6" s="692" t="str">
        <f>封面!$E$10&amp;封面!$H$10&amp;封面!$I$10&amp;封面!$J$10&amp;封面!$K$10&amp;封面!L10</f>
        <v>中華民國111年7月份</v>
      </c>
      <c r="B6" s="692"/>
      <c r="C6" s="692"/>
      <c r="D6" s="692"/>
      <c r="E6" s="692"/>
      <c r="F6" s="692"/>
      <c r="G6" s="690"/>
      <c r="J6" s="241"/>
      <c r="K6" s="215"/>
    </row>
    <row r="7" spans="1:11" s="85" customFormat="1" ht="14.25" customHeight="1">
      <c r="A7" s="621" t="s">
        <v>39</v>
      </c>
      <c r="B7" s="621"/>
      <c r="C7" s="621"/>
      <c r="D7" s="621"/>
      <c r="E7" s="621"/>
      <c r="F7" s="621"/>
      <c r="G7" s="690"/>
      <c r="J7" s="241"/>
      <c r="K7" s="215"/>
    </row>
    <row r="8" spans="1:11" s="242" customFormat="1" ht="28.5" customHeight="1">
      <c r="A8" s="615" t="s">
        <v>219</v>
      </c>
      <c r="B8" s="615" t="s">
        <v>276</v>
      </c>
      <c r="C8" s="615" t="s">
        <v>277</v>
      </c>
      <c r="D8" s="694" t="s">
        <v>280</v>
      </c>
      <c r="E8" s="695"/>
      <c r="F8" s="623" t="s">
        <v>281</v>
      </c>
      <c r="G8" s="634" t="s">
        <v>282</v>
      </c>
    </row>
    <row r="9" spans="1:11" s="243" customFormat="1" ht="28.5" customHeight="1">
      <c r="A9" s="691"/>
      <c r="B9" s="691"/>
      <c r="C9" s="691"/>
      <c r="D9" s="326" t="s">
        <v>278</v>
      </c>
      <c r="E9" s="326" t="s">
        <v>279</v>
      </c>
      <c r="F9" s="688"/>
      <c r="G9" s="655"/>
    </row>
    <row r="10" spans="1:11">
      <c r="A10" s="247" t="s">
        <v>210</v>
      </c>
      <c r="B10" s="283">
        <f t="shared" ref="B10:G10" si="0">SUM(B12:B32)</f>
        <v>74887823</v>
      </c>
      <c r="C10" s="283">
        <f t="shared" si="0"/>
        <v>34700584</v>
      </c>
      <c r="D10" s="327">
        <f t="shared" si="0"/>
        <v>3703214</v>
      </c>
      <c r="E10" s="327">
        <f t="shared" si="0"/>
        <v>367395</v>
      </c>
      <c r="F10" s="327">
        <f t="shared" si="0"/>
        <v>1381070</v>
      </c>
      <c r="G10" s="327">
        <f t="shared" si="0"/>
        <v>42141988</v>
      </c>
    </row>
    <row r="11" spans="1:11" ht="15.75" hidden="1" customHeight="1">
      <c r="A11" s="248"/>
      <c r="B11" s="284"/>
      <c r="C11" s="284"/>
      <c r="D11" s="328"/>
      <c r="E11" s="328"/>
      <c r="F11" s="328"/>
      <c r="G11" s="328"/>
    </row>
    <row r="12" spans="1:11">
      <c r="A12" s="249" t="s">
        <v>211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>
      <c r="A13" s="249"/>
      <c r="B13" s="284"/>
      <c r="C13" s="379"/>
      <c r="D13" s="437"/>
      <c r="E13" s="437"/>
      <c r="F13" s="328"/>
      <c r="G13" s="328">
        <f t="shared" ref="G13:G33" si="1">B13-C13+D13-E13-F13</f>
        <v>0</v>
      </c>
    </row>
    <row r="14" spans="1:11">
      <c r="A14" s="249" t="s">
        <v>212</v>
      </c>
      <c r="B14" s="284">
        <v>11027358</v>
      </c>
      <c r="C14" s="438"/>
      <c r="D14" s="437"/>
      <c r="E14" s="437"/>
      <c r="F14" s="328"/>
      <c r="G14" s="328">
        <f t="shared" si="1"/>
        <v>11027358</v>
      </c>
    </row>
    <row r="15" spans="1:11" ht="15.75" hidden="1" customHeight="1">
      <c r="A15" s="249"/>
      <c r="B15" s="284"/>
      <c r="C15" s="438"/>
      <c r="D15" s="437"/>
      <c r="E15" s="437"/>
      <c r="F15" s="328"/>
      <c r="G15" s="328">
        <f t="shared" si="1"/>
        <v>0</v>
      </c>
    </row>
    <row r="16" spans="1:11">
      <c r="A16" s="249" t="s">
        <v>213</v>
      </c>
      <c r="B16" s="440">
        <v>5137300</v>
      </c>
      <c r="C16" s="441">
        <v>2002347</v>
      </c>
      <c r="D16" s="439"/>
      <c r="E16" s="437"/>
      <c r="F16" s="441">
        <v>229621</v>
      </c>
      <c r="G16" s="328">
        <f t="shared" si="1"/>
        <v>2905332</v>
      </c>
    </row>
    <row r="17" spans="1:7" ht="15.75" hidden="1" customHeight="1">
      <c r="A17" s="249"/>
      <c r="B17" s="438"/>
      <c r="C17" s="438"/>
      <c r="D17" s="439"/>
      <c r="E17" s="437"/>
      <c r="F17" s="439"/>
      <c r="G17" s="328">
        <f t="shared" si="1"/>
        <v>0</v>
      </c>
    </row>
    <row r="18" spans="1:7">
      <c r="A18" s="249" t="s">
        <v>214</v>
      </c>
      <c r="B18" s="440">
        <v>48499250</v>
      </c>
      <c r="C18" s="441">
        <v>25055154</v>
      </c>
      <c r="D18" s="437"/>
      <c r="E18" s="437">
        <v>64923</v>
      </c>
      <c r="F18" s="441">
        <v>606970</v>
      </c>
      <c r="G18" s="328">
        <f t="shared" si="1"/>
        <v>22772203</v>
      </c>
    </row>
    <row r="19" spans="1:7" ht="15.75" hidden="1" customHeight="1">
      <c r="A19" s="249"/>
      <c r="B19" s="438"/>
      <c r="C19" s="438"/>
      <c r="D19" s="439"/>
      <c r="E19" s="437"/>
      <c r="F19" s="439"/>
      <c r="G19" s="328">
        <f t="shared" si="1"/>
        <v>0</v>
      </c>
    </row>
    <row r="20" spans="1:7">
      <c r="A20" s="249" t="s">
        <v>215</v>
      </c>
      <c r="B20" s="440">
        <v>5217136</v>
      </c>
      <c r="C20" s="441">
        <v>3858656</v>
      </c>
      <c r="D20" s="441">
        <v>732540</v>
      </c>
      <c r="E20" s="437">
        <v>115110</v>
      </c>
      <c r="F20" s="441">
        <v>264103</v>
      </c>
      <c r="G20" s="328">
        <f t="shared" si="1"/>
        <v>1711807</v>
      </c>
    </row>
    <row r="21" spans="1:7" ht="15.75" hidden="1" customHeight="1">
      <c r="A21" s="249"/>
      <c r="B21" s="438"/>
      <c r="C21" s="438"/>
      <c r="D21" s="439"/>
      <c r="E21" s="437"/>
      <c r="F21" s="439"/>
      <c r="G21" s="328">
        <f t="shared" si="1"/>
        <v>0</v>
      </c>
    </row>
    <row r="22" spans="1:7">
      <c r="A22" s="249" t="s">
        <v>216</v>
      </c>
      <c r="B22" s="440">
        <v>634500</v>
      </c>
      <c r="C22" s="441">
        <v>433888</v>
      </c>
      <c r="D22" s="441"/>
      <c r="E22" s="437"/>
      <c r="F22" s="441">
        <v>39554</v>
      </c>
      <c r="G22" s="328">
        <f t="shared" si="1"/>
        <v>161058</v>
      </c>
    </row>
    <row r="23" spans="1:7" ht="15.75" hidden="1" customHeight="1">
      <c r="A23" s="249"/>
      <c r="B23" s="438"/>
      <c r="C23" s="438"/>
      <c r="D23" s="439"/>
      <c r="E23" s="328"/>
      <c r="F23" s="439"/>
      <c r="G23" s="328">
        <f t="shared" si="1"/>
        <v>0</v>
      </c>
    </row>
    <row r="24" spans="1:7">
      <c r="A24" s="249" t="s">
        <v>217</v>
      </c>
      <c r="B24" s="440">
        <v>4372279</v>
      </c>
      <c r="C24" s="441">
        <v>3350539</v>
      </c>
      <c r="D24" s="441">
        <v>2970674</v>
      </c>
      <c r="E24" s="328">
        <v>187362</v>
      </c>
      <c r="F24" s="441">
        <v>240822</v>
      </c>
      <c r="G24" s="328">
        <f t="shared" si="1"/>
        <v>3564230</v>
      </c>
    </row>
    <row r="25" spans="1:7" ht="15.75" hidden="1" customHeight="1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>
      <c r="A26" s="249" t="s">
        <v>218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>
      <c r="A28" s="249" t="s">
        <v>275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>
      <c r="A30" s="249" t="s">
        <v>50</v>
      </c>
      <c r="B30" s="284"/>
      <c r="C30" s="284"/>
      <c r="D30" s="328"/>
      <c r="E30" s="328"/>
      <c r="F30" s="328"/>
      <c r="G30" s="328">
        <f t="shared" si="1"/>
        <v>0</v>
      </c>
    </row>
    <row r="31" spans="1:7">
      <c r="A31" s="249" t="s">
        <v>205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>
      <c r="A33" s="250" t="s">
        <v>206</v>
      </c>
      <c r="B33" s="285"/>
      <c r="C33" s="285"/>
      <c r="D33" s="329"/>
      <c r="E33" s="329"/>
      <c r="F33" s="329"/>
      <c r="G33" s="329">
        <f t="shared" si="1"/>
        <v>0</v>
      </c>
    </row>
    <row r="34" spans="1:7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Sheet1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購健固定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2022-07-29T02:12:53Z</cp:lastPrinted>
  <dcterms:created xsi:type="dcterms:W3CDTF">2016-11-01T23:05:09Z</dcterms:created>
  <dcterms:modified xsi:type="dcterms:W3CDTF">2022-08-02T00:24:13Z</dcterms:modified>
</cp:coreProperties>
</file>