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3969443D-B734-44C6-9CA7-7D13D46028DA}" xr6:coauthVersionLast="36" xr6:coauthVersionMax="36" xr10:uidLastSave="{00000000-0000-0000-0000-000000000000}"/>
  <bookViews>
    <workbookView xWindow="-12" yWindow="72" windowWidth="15480" windowHeight="3780" tabRatio="800" firstSheet="2" activeTab="13" xr2:uid="{00000000-000D-0000-FFFF-FFFF00000000}"/>
  </bookViews>
  <sheets>
    <sheet name="封面-移交" sheetId="22" r:id="rId1"/>
    <sheet name="勾稽" sheetId="15" r:id="rId2"/>
    <sheet name="勾稽 (2)" sheetId="25" r:id="rId3"/>
    <sheet name="封面" sheetId="14" r:id="rId4"/>
    <sheet name="餘絀表" sheetId="3" r:id="rId5"/>
    <sheet name="平衡" sheetId="1" r:id="rId6"/>
    <sheet name="主要業務" sheetId="5" r:id="rId7"/>
    <sheet name="資產" sheetId="21" r:id="rId8"/>
    <sheet name="各項費用" sheetId="9" r:id="rId9"/>
    <sheet name="落後原因" sheetId="10" r:id="rId10"/>
    <sheet name="收支" sheetId="23" r:id="rId11"/>
    <sheet name="對照表" sheetId="24" r:id="rId12"/>
    <sheet name="庫款差額" sheetId="11" r:id="rId13"/>
    <sheet name="縣庫對帳" sheetId="12" r:id="rId14"/>
    <sheet name="購健固定" sheetId="8" r:id="rId15"/>
    <sheet name="固定項目" sheetId="7" r:id="rId16"/>
    <sheet name="專戶差額" sheetId="16" r:id="rId17"/>
    <sheet name="保管品" sheetId="17" r:id="rId18"/>
    <sheet name="專戶對帳" sheetId="18" r:id="rId19"/>
    <sheet name="對帳通知單" sheetId="13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5">平衡!$A$1:$V$49</definedName>
    <definedName name="_xlnm.Print_Area" localSheetId="8">各項費用!$A$1:$W$37</definedName>
    <definedName name="_xlnm.Print_Area" localSheetId="10">收支!$A$1:$N$41</definedName>
    <definedName name="_xlnm.Print_Area" localSheetId="15">固定項目!$A$1:$I$43</definedName>
    <definedName name="_xlnm.Print_Area" localSheetId="3">封面!$A$1:$N$18</definedName>
    <definedName name="_xlnm.Print_Area" localSheetId="0">'封面-移交'!$A$1:$N$18</definedName>
    <definedName name="_xlnm.Print_Area" localSheetId="12">庫款差額!$A$1:$C$25</definedName>
    <definedName name="_xlnm.Print_Area" localSheetId="16">專戶差額!$A$1:$L$45</definedName>
    <definedName name="_xlnm.Print_Area" localSheetId="9">落後原因!$A$1:$P$21</definedName>
    <definedName name="_xlnm.Print_Area" localSheetId="7">資產!$A$1:$G$33</definedName>
    <definedName name="_xlnm.Print_Area" localSheetId="19">對帳通知單!$A$1:$R$20</definedName>
    <definedName name="_xlnm.Print_Area" localSheetId="11">對照表!$A$1:$I$33</definedName>
    <definedName name="_xlnm.Print_Area" localSheetId="4">餘絀表!$A$1:$AD$46</definedName>
    <definedName name="_xlnm.Print_Area" localSheetId="13">縣庫對帳!$B$1:$L$25</definedName>
    <definedName name="_xlnm.Print_Titles" localSheetId="8">各項費用!$2:$10</definedName>
    <definedName name="_xlnm.Print_Titles" localSheetId="12">庫款差額!$1:$5</definedName>
    <definedName name="_xlnm.Print_Titles" localSheetId="13">縣庫對帳!$1:$3</definedName>
  </definedNames>
  <calcPr calcId="179021"/>
</workbook>
</file>

<file path=xl/calcChain.xml><?xml version="1.0" encoding="utf-8"?>
<calcChain xmlns="http://schemas.openxmlformats.org/spreadsheetml/2006/main">
  <c r="G29" i="25" l="1"/>
  <c r="F28" i="25"/>
  <c r="F27" i="25"/>
  <c r="F30" i="25"/>
  <c r="F31" i="25"/>
  <c r="F29" i="25"/>
  <c r="F26" i="25"/>
  <c r="F25" i="25"/>
  <c r="E29" i="25" l="1"/>
  <c r="N4" i="12"/>
  <c r="D29" i="24"/>
  <c r="C29" i="24"/>
  <c r="N15" i="23"/>
  <c r="N16" i="23"/>
  <c r="N17" i="23"/>
  <c r="N18" i="23"/>
  <c r="N19" i="23"/>
  <c r="N20" i="23"/>
  <c r="N21" i="23"/>
  <c r="N22" i="23"/>
  <c r="N23" i="23"/>
  <c r="N25" i="23"/>
  <c r="N27" i="23"/>
  <c r="N28" i="23"/>
  <c r="N29" i="23"/>
  <c r="N30" i="23"/>
  <c r="N32" i="23"/>
  <c r="N33" i="23"/>
  <c r="N34" i="23"/>
  <c r="N36" i="23"/>
  <c r="N38" i="23"/>
  <c r="N39" i="23"/>
  <c r="V28" i="1" l="1"/>
  <c r="E6" i="25" l="1"/>
  <c r="D6" i="25"/>
  <c r="I17" i="23" l="1"/>
  <c r="G31" i="25" l="1"/>
  <c r="I35" i="23" l="1"/>
  <c r="N35" i="23" s="1"/>
  <c r="I33" i="23"/>
  <c r="I31" i="23"/>
  <c r="N31" i="23" s="1"/>
  <c r="I29" i="23"/>
  <c r="I27" i="23"/>
  <c r="I24" i="23"/>
  <c r="N24" i="23" s="1"/>
  <c r="I22" i="23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I41" i="23"/>
  <c r="C5" i="3"/>
  <c r="A6" i="5"/>
  <c r="A4" i="1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21" i="25"/>
  <c r="E21" i="25"/>
  <c r="D21" i="25" s="1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N37" i="23" s="1"/>
  <c r="J28" i="24"/>
  <c r="D31" i="24"/>
  <c r="E15" i="15"/>
  <c r="E20" i="15"/>
  <c r="E21" i="15"/>
  <c r="G11" i="15"/>
  <c r="E13" i="25" l="1"/>
  <c r="G13" i="25" s="1"/>
  <c r="D13" i="25" s="1"/>
  <c r="H10" i="25" s="1"/>
  <c r="N40" i="23"/>
  <c r="F12" i="15"/>
  <c r="F12" i="25"/>
  <c r="J31" i="24"/>
  <c r="E31" i="24"/>
  <c r="E9" i="15"/>
  <c r="D9" i="15"/>
  <c r="P7" i="12"/>
  <c r="F21" i="15"/>
  <c r="F20" i="15"/>
  <c r="D20" i="15"/>
  <c r="D10" i="15"/>
  <c r="E15" i="25" l="1"/>
  <c r="E17" i="15"/>
  <c r="E8" i="15"/>
  <c r="D8" i="15"/>
  <c r="E7" i="15"/>
  <c r="D7" i="15"/>
  <c r="D6" i="15"/>
  <c r="D15" i="15"/>
  <c r="D14" i="15"/>
  <c r="G13" i="15" l="1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L28" i="8" s="1"/>
  <c r="K29" i="8"/>
  <c r="L29" i="8" s="1"/>
  <c r="K31" i="8"/>
  <c r="M31" i="8" s="1"/>
  <c r="N31" i="8" s="1"/>
  <c r="K32" i="8"/>
  <c r="M32" i="8" s="1"/>
  <c r="N32" i="8" s="1"/>
  <c r="K34" i="8"/>
  <c r="L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G36" i="8" s="1"/>
  <c r="D36" i="8"/>
  <c r="C36" i="8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H30" i="8"/>
  <c r="F30" i="8"/>
  <c r="E30" i="8"/>
  <c r="D30" i="8"/>
  <c r="C30" i="8"/>
  <c r="G30" i="8" s="1"/>
  <c r="J27" i="8"/>
  <c r="I27" i="8"/>
  <c r="K27" i="8" s="1"/>
  <c r="L27" i="8" s="1"/>
  <c r="H27" i="8"/>
  <c r="M27" i="8" s="1"/>
  <c r="N27" i="8" s="1"/>
  <c r="F27" i="8"/>
  <c r="E27" i="8"/>
  <c r="D27" i="8"/>
  <c r="C27" i="8"/>
  <c r="G27" i="8" s="1"/>
  <c r="J24" i="8"/>
  <c r="I24" i="8"/>
  <c r="K24" i="8" s="1"/>
  <c r="L24" i="8" s="1"/>
  <c r="H24" i="8"/>
  <c r="F24" i="8"/>
  <c r="E24" i="8"/>
  <c r="D24" i="8"/>
  <c r="C24" i="8"/>
  <c r="G24" i="8" s="1"/>
  <c r="L23" i="8"/>
  <c r="L25" i="8"/>
  <c r="L31" i="8"/>
  <c r="L32" i="8"/>
  <c r="L35" i="8"/>
  <c r="L37" i="8"/>
  <c r="D21" i="8"/>
  <c r="D40" i="8" s="1"/>
  <c r="E21" i="8"/>
  <c r="E40" i="8" s="1"/>
  <c r="F21" i="8"/>
  <c r="F40" i="8" s="1"/>
  <c r="H21" i="8"/>
  <c r="I21" i="8"/>
  <c r="K21" i="8" s="1"/>
  <c r="L21" i="8" s="1"/>
  <c r="J21" i="8"/>
  <c r="J40" i="8" s="1"/>
  <c r="C21" i="8"/>
  <c r="C40" i="8" s="1"/>
  <c r="L8" i="16"/>
  <c r="K8" i="16"/>
  <c r="J8" i="16"/>
  <c r="I8" i="16"/>
  <c r="G8" i="16"/>
  <c r="L30" i="8" l="1"/>
  <c r="M30" i="8"/>
  <c r="N30" i="8" s="1"/>
  <c r="G40" i="8"/>
  <c r="M21" i="8"/>
  <c r="N21" i="8" s="1"/>
  <c r="M24" i="8"/>
  <c r="N24" i="8" s="1"/>
  <c r="M29" i="8"/>
  <c r="N29" i="8" s="1"/>
  <c r="G21" i="8"/>
  <c r="M38" i="8"/>
  <c r="N38" i="8" s="1"/>
  <c r="M26" i="8"/>
  <c r="N26" i="8" s="1"/>
  <c r="M28" i="8"/>
  <c r="N28" i="8" s="1"/>
  <c r="I40" i="8"/>
  <c r="K40" i="8" s="1"/>
  <c r="L40" i="8" s="1"/>
  <c r="H40" i="8"/>
  <c r="M34" i="8"/>
  <c r="N34" i="8" s="1"/>
  <c r="M22" i="8"/>
  <c r="N22" i="8" s="1"/>
  <c r="D23" i="15"/>
  <c r="H8" i="16" s="1"/>
  <c r="M40" i="8" l="1"/>
  <c r="N40" i="8" s="1"/>
  <c r="L38" i="16"/>
  <c r="J38" i="16"/>
  <c r="I38" i="16"/>
  <c r="H38" i="16"/>
  <c r="G38" i="16"/>
  <c r="L34" i="16"/>
  <c r="J34" i="16"/>
  <c r="I34" i="16"/>
  <c r="H34" i="16"/>
  <c r="G34" i="16"/>
  <c r="L13" i="16"/>
  <c r="J13" i="16"/>
  <c r="I13" i="16"/>
  <c r="H13" i="16"/>
  <c r="G13" i="16"/>
  <c r="G46" i="16" s="1"/>
  <c r="G47" i="16" s="1"/>
  <c r="L9" i="16"/>
  <c r="L46" i="16" s="1"/>
  <c r="L47" i="16" s="1"/>
  <c r="J9" i="16"/>
  <c r="J46" i="16" s="1"/>
  <c r="J47" i="16" s="1"/>
  <c r="I9" i="16"/>
  <c r="I46" i="16" s="1"/>
  <c r="I47" i="16" s="1"/>
  <c r="H9" i="16"/>
  <c r="H46" i="16" s="1"/>
  <c r="H47" i="16" s="1"/>
  <c r="G9" i="16"/>
  <c r="G7" i="16"/>
  <c r="G43" i="16" l="1"/>
  <c r="A16" i="11" l="1"/>
  <c r="F10" i="21" l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25" l="1"/>
  <c r="F9" i="1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28" i="25"/>
  <c r="D31" i="25" s="1"/>
  <c r="D32" i="25" s="1"/>
</calcChain>
</file>

<file path=xl/sharedStrings.xml><?xml version="1.0" encoding="utf-8"?>
<sst xmlns="http://schemas.openxmlformats.org/spreadsheetml/2006/main" count="832" uniqueCount="613">
  <si>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</si>
  <si>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</si>
  <si>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</si>
  <si>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</si>
  <si>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</si>
  <si>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</si>
  <si>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</si>
  <si>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</si>
  <si>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</si>
  <si>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</si>
  <si>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</si>
  <si>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</si>
  <si>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</si>
  <si>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</si>
  <si>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</si>
  <si>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</si>
  <si>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</si>
  <si>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</si>
  <si>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</si>
  <si>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</si>
  <si>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</si>
  <si>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</si>
  <si>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</si>
  <si>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</si>
  <si>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</si>
  <si>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</si>
  <si>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</si>
  <si>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</si>
  <si>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</si>
  <si>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</si>
  <si>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</si>
  <si>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</si>
  <si>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</si>
  <si>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</si>
  <si>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</si>
  <si>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</si>
  <si>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</si>
  <si>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</si>
  <si>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</si>
  <si>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</si>
  <si>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</si>
  <si>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</si>
  <si>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</si>
  <si>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</si>
  <si>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</si>
  <si>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</si>
  <si>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</si>
  <si>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</si>
  <si>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</si>
  <si>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</si>
  <si>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</si>
  <si>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</si>
  <si>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</si>
  <si>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</si>
  <si>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</si>
  <si>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</si>
  <si>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</si>
  <si>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</si>
  <si>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</si>
  <si>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</si>
  <si>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</si>
  <si>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</si>
  <si>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</si>
  <si>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</si>
  <si>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</si>
  <si>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</si>
  <si>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</si>
  <si>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</si>
  <si>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</si>
  <si>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</si>
  <si>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</si>
  <si>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</si>
  <si>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</si>
  <si>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</si>
  <si>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</si>
  <si>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</si>
  <si>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</si>
  <si>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</si>
  <si>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</si>
  <si>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</si>
  <si>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</si>
  <si>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</si>
  <si>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</si>
  <si>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</si>
  <si>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</si>
  <si>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</si>
  <si>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</si>
  <si>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</si>
  <si>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</si>
  <si>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</si>
  <si>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</si>
  <si>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</si>
  <si>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</si>
  <si>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</si>
  <si>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</si>
  <si>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</si>
  <si>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</si>
  <si>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</si>
  <si>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</si>
  <si>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</si>
  <si>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</si>
  <si>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</si>
  <si>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</si>
  <si>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</si>
  <si>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</si>
  <si>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</si>
  <si>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</si>
  <si>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</si>
  <si>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</si>
  <si>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</si>
  <si>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</si>
  <si>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</si>
  <si>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</si>
  <si>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</si>
  <si>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</si>
  <si>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</si>
  <si>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</si>
  <si>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</si>
  <si>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</si>
  <si>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</si>
  <si>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</si>
  <si>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</si>
  <si>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</si>
  <si>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</si>
  <si>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</si>
  <si>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</si>
  <si>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</si>
  <si>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</si>
  <si>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</si>
  <si>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</si>
  <si>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</si>
  <si>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</si>
  <si>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</si>
  <si>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</si>
  <si>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</si>
  <si>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</si>
  <si>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</si>
  <si>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</si>
  <si>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</si>
  <si>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</si>
  <si>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</si>
  <si>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</si>
  <si>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</si>
  <si>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</si>
  <si>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</si>
  <si>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</si>
  <si>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</si>
  <si>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</si>
  <si>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</si>
  <si>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</si>
  <si>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</si>
  <si>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</si>
  <si>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</si>
  <si>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</si>
  <si>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</si>
  <si>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</si>
  <si>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</si>
  <si>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</si>
  <si>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</si>
  <si>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</si>
  <si>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</si>
  <si>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</si>
  <si>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</si>
  <si>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</si>
  <si>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</si>
  <si>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</si>
  <si>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</si>
  <si>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</si>
  <si>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</si>
  <si>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</si>
  <si>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</si>
  <si>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</si>
  <si>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</si>
  <si>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</si>
  <si>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</si>
  <si>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</si>
  <si>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</si>
  <si>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</si>
  <si>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</si>
  <si>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</si>
  <si>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</si>
  <si>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</si>
  <si>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</si>
  <si>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</si>
  <si>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</si>
  <si>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</si>
  <si>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</si>
  <si>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</si>
  <si>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</si>
  <si>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</si>
  <si>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</si>
  <si>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</si>
  <si>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</si>
  <si>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</si>
  <si>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</si>
  <si>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</si>
  <si>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</si>
  <si>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</si>
  <si>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</si>
  <si>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</si>
  <si>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</si>
  <si>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</si>
  <si>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</si>
  <si>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</si>
  <si>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</si>
  <si>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</si>
  <si>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</si>
  <si>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</si>
  <si>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</si>
  <si>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</si>
  <si>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</si>
  <si>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</si>
  <si>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</si>
  <si>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</si>
  <si>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</si>
  <si>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</si>
  <si>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</si>
  <si>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</si>
  <si>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</si>
  <si>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</si>
  <si>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</si>
  <si>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</si>
  <si>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</si>
  <si>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</si>
  <si>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</si>
  <si>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</si>
  <si>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</si>
  <si>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</si>
  <si>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</si>
  <si>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</si>
  <si>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</si>
  <si>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</si>
  <si>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</si>
  <si>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</si>
  <si>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</si>
  <si>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</si>
  <si>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</si>
  <si>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</si>
  <si>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</si>
  <si>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</si>
  <si>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</si>
  <si>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</si>
  <si>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</si>
  <si>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</si>
  <si>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</si>
  <si>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</si>
  <si>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</si>
  <si>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</si>
  <si>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</si>
  <si>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</si>
  <si>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</si>
  <si>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</si>
  <si>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</si>
  <si>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</si>
  <si>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</si>
  <si>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</si>
  <si>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</si>
  <si>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</si>
  <si>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</si>
  <si>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</si>
  <si>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</si>
  <si>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</si>
  <si>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</si>
  <si>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</si>
  <si>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</si>
  <si>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</si>
  <si>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</si>
  <si>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</si>
  <si>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</si>
  <si>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</si>
  <si>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</si>
  <si>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</si>
  <si>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</si>
  <si>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</si>
  <si>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</si>
  <si>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</si>
  <si>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</si>
  <si>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</si>
  <si>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</si>
  <si>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</si>
  <si>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</si>
  <si>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</si>
  <si>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</si>
  <si>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</si>
  <si>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</si>
  <si>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</si>
  <si>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</si>
  <si>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</si>
  <si>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</si>
  <si>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</si>
  <si>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</si>
  <si>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</si>
  <si>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</si>
  <si>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</si>
  <si>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</si>
  <si>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</si>
  <si>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</si>
  <si>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</si>
  <si>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</si>
  <si>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</si>
  <si>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</si>
  <si>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</si>
  <si>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</si>
  <si>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</si>
  <si>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</si>
  <si>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</si>
  <si>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</si>
  <si>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</si>
  <si>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</si>
  <si>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</si>
  <si>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</si>
  <si>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</si>
  <si>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</si>
  <si>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</si>
  <si>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</si>
  <si>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</si>
  <si>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</si>
  <si>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</si>
  <si>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</si>
  <si>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</si>
  <si>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</si>
  <si>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</si>
  <si>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</si>
  <si>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</si>
  <si>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</si>
  <si>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</si>
  <si>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</si>
  <si>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</si>
  <si>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</si>
  <si>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</si>
  <si>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</si>
  <si>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</si>
  <si>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</si>
  <si>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</si>
  <si>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</si>
  <si>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</si>
  <si>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</si>
  <si>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</si>
  <si>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</si>
  <si>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</si>
  <si>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</si>
  <si>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</si>
  <si>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</si>
  <si>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</si>
  <si>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</si>
  <si>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</si>
  <si>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</si>
  <si>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</si>
  <si>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</si>
  <si>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</si>
  <si>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</si>
  <si>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</si>
  <si>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</si>
  <si>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</si>
  <si>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</si>
  <si>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</si>
  <si>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</si>
  <si>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</si>
  <si>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</si>
  <si>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</si>
  <si>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</si>
  <si>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</si>
  <si>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</si>
  <si>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</si>
  <si>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</si>
  <si>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</si>
  <si>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</si>
  <si>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</si>
  <si>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</si>
  <si>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</si>
  <si>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</si>
  <si>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</si>
  <si>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</si>
  <si>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</si>
  <si>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</si>
  <si>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</si>
  <si>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</si>
  <si>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</si>
  <si>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月報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</si>
  <si>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</si>
  <si>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</si>
  <si>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</si>
  <si>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</si>
  <si>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</si>
  <si>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</si>
  <si>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午餐專戶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</si>
  <si>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</si>
  <si>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</si>
  <si>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</si>
  <si>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</si>
  <si>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項目</t>
    <phoneticPr fontId="9" type="noConversion"/>
  </si>
  <si>
    <t>名稱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</si>
  <si>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</si>
  <si>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</si>
  <si>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</si>
  <si>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</si>
  <si>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</si>
  <si>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</si>
  <si>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</si>
  <si>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</si>
  <si>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</si>
  <si>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</si>
  <si>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</si>
  <si>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</si>
  <si>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</si>
  <si>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</si>
  <si>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</si>
  <si>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</si>
  <si>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</si>
  <si>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</si>
  <si>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</si>
  <si>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</si>
  <si>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</si>
  <si>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</si>
  <si>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</si>
  <si>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</si>
  <si>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</si>
  <si>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</si>
  <si>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</si>
  <si>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</si>
  <si>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</si>
  <si>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</si>
  <si>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</si>
  <si>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</si>
  <si>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</si>
  <si>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</si>
  <si>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</si>
  <si>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</si>
  <si>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</si>
  <si>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</si>
  <si>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</si>
  <si>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</si>
  <si>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</si>
  <si>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</si>
  <si>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</si>
  <si>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</si>
  <si>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</si>
  <si>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</si>
  <si>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</si>
  <si>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</si>
  <si>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</si>
  <si>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</si>
  <si>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</si>
  <si>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</si>
  <si>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</si>
  <si>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</si>
  <si>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</si>
  <si>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</si>
  <si>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</si>
  <si>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</si>
  <si>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</si>
  <si>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</si>
  <si>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</si>
  <si>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</si>
  <si>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</si>
  <si>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因新冠肺炎疫情影響，致場地設施使用費減少。</t>
    <phoneticPr fontId="9" type="noConversion"/>
  </si>
  <si>
    <t>(二)</t>
    <phoneticPr fontId="9" type="noConversion"/>
  </si>
  <si>
    <t>財產處分收入：</t>
    <phoneticPr fontId="9" type="noConversion"/>
  </si>
  <si>
    <t>1、報廢財物經惜物網拍賣分配之收入。</t>
    <phoneticPr fontId="9" type="noConversion"/>
  </si>
  <si>
    <t>2、拆除遊戲場設施(單槓、搖椅、不鏽鋼旋轉椅及溜滑梯)報廢物資出售收入31,890元。</t>
    <phoneticPr fontId="9" type="noConversion"/>
  </si>
  <si>
    <t>總計</t>
    <phoneticPr fontId="9" type="noConversion"/>
  </si>
  <si>
    <t>電力系統改善工程款項預撥入戶，致保管金專戶利息收入增加。</t>
    <phoneticPr fontId="9" type="noConversion"/>
  </si>
  <si>
    <t>財產孳息收入</t>
    <phoneticPr fontId="9" type="noConversion"/>
  </si>
  <si>
    <t>勞工1、2月份相關保費尚未請領。嗣後依請領時程分配預算。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</si>
  <si>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</si>
  <si>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</si>
  <si>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</si>
  <si>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</si>
  <si>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</si>
  <si>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</si>
  <si>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</si>
  <si>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</si>
  <si>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</si>
  <si>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</si>
  <si>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</si>
  <si>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</si>
  <si>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</si>
  <si>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</si>
  <si>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</si>
  <si>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</si>
  <si>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</si>
  <si>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</si>
  <si>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</si>
  <si>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</si>
  <si>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</si>
  <si>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</si>
  <si>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</si>
  <si>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</si>
  <si>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</si>
  <si>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</si>
  <si>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</si>
  <si>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</si>
  <si>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</si>
  <si>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</si>
  <si>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</si>
  <si>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</si>
  <si>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</si>
  <si>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</si>
  <si>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</si>
  <si>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</si>
  <si>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</si>
  <si>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</si>
  <si>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</si>
  <si>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</si>
  <si>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</si>
  <si>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</si>
  <si>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</si>
  <si>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</si>
  <si>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</si>
  <si>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</si>
  <si>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</si>
  <si>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</si>
  <si>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</si>
  <si>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</si>
  <si>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</si>
  <si>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</si>
  <si>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</si>
  <si>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</si>
  <si>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</si>
  <si>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</si>
  <si>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</si>
  <si>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</si>
  <si>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</si>
  <si>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</si>
  <si>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</si>
  <si>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</si>
  <si>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</si>
  <si>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</si>
  <si>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</si>
  <si>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</si>
  <si>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</si>
  <si>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-80.40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</si>
  <si>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</si>
  <si>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</si>
  <si>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</si>
  <si>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</si>
  <si>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</si>
  <si>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</si>
  <si>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</si>
  <si>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</si>
  <si>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</si>
  <si>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</si>
  <si>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</si>
  <si>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</si>
  <si>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</si>
  <si>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</si>
  <si>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</si>
  <si>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</si>
  <si>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</si>
  <si>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</si>
  <si>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</si>
  <si>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</si>
  <si>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</si>
  <si>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</si>
  <si>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</si>
  <si>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服務費用</t>
  </si>
  <si>
    <t>-93.02</t>
  </si>
  <si>
    <t>25</t>
  </si>
  <si>
    <t>修理保養及保固費</t>
  </si>
  <si>
    <t>257</t>
  </si>
  <si>
    <t>雜項設備修護費</t>
  </si>
  <si>
    <t>27</t>
  </si>
  <si>
    <t>一般服務費</t>
  </si>
  <si>
    <t>27D</t>
  </si>
  <si>
    <t>計時與計件人員酬金</t>
  </si>
  <si>
    <t>材料及用品費</t>
  </si>
  <si>
    <t>-100.00</t>
  </si>
  <si>
    <t>4</t>
  </si>
  <si>
    <t>租金、償債、利息及相關手續費</t>
  </si>
  <si>
    <t>7</t>
  </si>
  <si>
    <t>會費、捐助、補助、分攤、照護、救濟與交流活動費</t>
  </si>
  <si>
    <t>9</t>
  </si>
  <si>
    <t>合       計</t>
  </si>
  <si>
    <t>-81.15</t>
  </si>
  <si>
    <t>11153017580030100</t>
  </si>
  <si>
    <t>地方教育發展基金</t>
  </si>
  <si>
    <t/>
  </si>
  <si>
    <t>上期結餘</t>
  </si>
  <si>
    <t>111/01/03</t>
  </si>
  <si>
    <t>00001</t>
  </si>
  <si>
    <t>0100086</t>
  </si>
  <si>
    <t>支付數</t>
  </si>
  <si>
    <t>00002</t>
  </si>
  <si>
    <t>0100087</t>
  </si>
  <si>
    <t>00003</t>
  </si>
  <si>
    <t>0100475</t>
  </si>
  <si>
    <t>111/01/04</t>
  </si>
  <si>
    <t>13998710104588</t>
  </si>
  <si>
    <t>收入數</t>
  </si>
  <si>
    <t>111/01/17</t>
  </si>
  <si>
    <t>00007</t>
  </si>
  <si>
    <t>0101597</t>
  </si>
  <si>
    <t>111/01/22</t>
  </si>
  <si>
    <t>00006</t>
  </si>
  <si>
    <t>0101865</t>
  </si>
  <si>
    <t>00005</t>
  </si>
  <si>
    <t>0101871</t>
  </si>
  <si>
    <t>111/01/25</t>
  </si>
  <si>
    <t>00010</t>
  </si>
  <si>
    <t>0103478</t>
  </si>
  <si>
    <t>111/01/27</t>
  </si>
  <si>
    <t>00011</t>
  </si>
  <si>
    <t>0103994</t>
  </si>
  <si>
    <t>111/01/28</t>
  </si>
  <si>
    <t>00004</t>
  </si>
  <si>
    <t>0103160</t>
  </si>
  <si>
    <t>00008</t>
  </si>
  <si>
    <t>0103161</t>
  </si>
  <si>
    <t>00009</t>
  </si>
  <si>
    <t>0103310</t>
  </si>
  <si>
    <t>小計</t>
  </si>
  <si>
    <t>補提折舊</t>
    <phoneticPr fontId="9" type="noConversion"/>
  </si>
  <si>
    <t>本表係採會計基礎編製，與預算編列基礎之基金來源、用途及餘絀表不同。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</si>
</sst>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96" x14ac:knownFonts="1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theme="0"/>
      <name val="ARIAL"/>
      <family val="2"/>
    </font>
    <font>
      <sz val="10"/>
      <color rgb="FF000000"/>
      <name val="標楷體"/>
      <family val="4"/>
      <charset val="136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34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3" fontId="67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0" fontId="6" fillId="0" borderId="0" xfId="1" applyFont="1">
      <alignment vertical="top"/>
    </xf>
    <xf numFmtId="177" fontId="86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88" fillId="0" borderId="11" xfId="7" applyNumberFormat="1" applyFont="1" applyBorder="1" applyAlignment="1">
      <alignment vertical="top"/>
    </xf>
    <xf numFmtId="177" fontId="89" fillId="0" borderId="0" xfId="7" applyNumberFormat="1" applyFont="1" applyFill="1">
      <alignment vertical="top"/>
    </xf>
    <xf numFmtId="177" fontId="90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16" xfId="0" applyFont="1" applyBorder="1" applyAlignment="1">
      <alignment horizontal="justify" vertical="top" wrapText="1"/>
    </xf>
    <xf numFmtId="176" fontId="88" fillId="0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vertical="top"/>
    </xf>
    <xf numFmtId="176" fontId="88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0" fillId="0" borderId="0" xfId="7" applyNumberFormat="1" applyFont="1" applyFill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7" fillId="0" borderId="0" xfId="0" applyFont="1" applyAlignment="1"/>
    <xf numFmtId="0" fontId="6" fillId="0" borderId="0" xfId="0" applyFont="1" applyAlignment="1"/>
    <xf numFmtId="177" fontId="6" fillId="0" borderId="0" xfId="7" applyNumberFormat="1" applyFont="1" applyAlignment="1"/>
    <xf numFmtId="0" fontId="6" fillId="0" borderId="18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77" fontId="91" fillId="0" borderId="1" xfId="7" applyNumberFormat="1" applyFont="1" applyFill="1" applyBorder="1" applyAlignment="1">
      <alignment horizontal="center" vertical="top"/>
    </xf>
    <xf numFmtId="177" fontId="90" fillId="0" borderId="1" xfId="7" applyNumberFormat="1" applyFont="1" applyFill="1" applyBorder="1">
      <alignment vertical="top"/>
    </xf>
    <xf numFmtId="180" fontId="92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3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6" fillId="0" borderId="0" xfId="7" applyNumberFormat="1" applyFont="1" applyAlignment="1">
      <alignment horizontal="left" vertical="top"/>
    </xf>
    <xf numFmtId="182" fontId="7" fillId="0" borderId="10" xfId="0" applyNumberFormat="1" applyFont="1" applyBorder="1" applyAlignment="1">
      <alignment horizontal="right" vertical="top"/>
    </xf>
    <xf numFmtId="182" fontId="7" fillId="0" borderId="11" xfId="0" applyNumberFormat="1" applyFont="1" applyBorder="1" applyAlignment="1">
      <alignment horizontal="right" vertical="top"/>
    </xf>
    <xf numFmtId="182" fontId="7" fillId="0" borderId="12" xfId="0" applyNumberFormat="1" applyFont="1" applyBorder="1" applyAlignment="1">
      <alignment vertical="top"/>
    </xf>
    <xf numFmtId="0" fontId="84" fillId="0" borderId="9" xfId="0" applyFont="1" applyFill="1" applyBorder="1" applyAlignment="1">
      <alignment vertical="top"/>
    </xf>
    <xf numFmtId="180" fontId="52" fillId="0" borderId="8" xfId="1" applyNumberFormat="1" applyFont="1" applyFill="1" applyBorder="1" applyAlignment="1">
      <alignment horizontal="right" vertical="center"/>
    </xf>
    <xf numFmtId="180" fontId="6" fillId="0" borderId="2" xfId="1" applyNumberFormat="1" applyFont="1" applyFill="1" applyBorder="1" applyAlignment="1">
      <alignment vertical="center"/>
    </xf>
    <xf numFmtId="180" fontId="52" fillId="0" borderId="2" xfId="1" applyNumberFormat="1" applyFont="1" applyFill="1" applyBorder="1" applyAlignment="1">
      <alignment horizontal="right" vertical="center"/>
    </xf>
    <xf numFmtId="176" fontId="6" fillId="0" borderId="9" xfId="7" applyNumberFormat="1" applyFont="1" applyFill="1" applyBorder="1" applyAlignment="1">
      <alignment vertical="top"/>
    </xf>
    <xf numFmtId="3" fontId="6" fillId="0" borderId="8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176" fontId="6" fillId="0" borderId="2" xfId="0" applyNumberFormat="1" applyFont="1" applyFill="1" applyBorder="1" applyAlignment="1">
      <alignment horizontal="right" vertical="top"/>
    </xf>
    <xf numFmtId="0" fontId="1" fillId="0" borderId="0" xfId="1" applyFont="1" applyFill="1">
      <alignment vertical="top"/>
    </xf>
    <xf numFmtId="177" fontId="6" fillId="12" borderId="5" xfId="7" applyNumberFormat="1" applyFont="1" applyFill="1" applyBorder="1">
      <alignment vertical="top"/>
    </xf>
    <xf numFmtId="3" fontId="21" fillId="12" borderId="4" xfId="0" applyNumberFormat="1" applyFont="1" applyFill="1" applyBorder="1" applyAlignment="1">
      <alignment horizontal="right" vertical="top" wrapText="1"/>
    </xf>
    <xf numFmtId="3" fontId="21" fillId="12" borderId="3" xfId="0" applyNumberFormat="1" applyFont="1" applyFill="1" applyBorder="1" applyAlignment="1">
      <alignment horizontal="right" vertical="top" wrapText="1"/>
    </xf>
    <xf numFmtId="176" fontId="6" fillId="12" borderId="5" xfId="7" applyNumberFormat="1" applyFont="1" applyFill="1" applyBorder="1" applyAlignment="1">
      <alignment horizontal="right" vertical="top"/>
    </xf>
    <xf numFmtId="3" fontId="6" fillId="12" borderId="4" xfId="0" applyNumberFormat="1" applyFont="1" applyFill="1" applyBorder="1" applyAlignment="1">
      <alignment horizontal="right" vertical="top"/>
    </xf>
    <xf numFmtId="3" fontId="6" fillId="12" borderId="3" xfId="0" applyNumberFormat="1" applyFont="1" applyFill="1" applyBorder="1" applyAlignment="1">
      <alignment horizontal="right" vertical="top"/>
    </xf>
    <xf numFmtId="176" fontId="6" fillId="12" borderId="3" xfId="0" applyNumberFormat="1" applyFont="1" applyFill="1" applyBorder="1" applyAlignment="1">
      <alignment horizontal="right" vertical="top"/>
    </xf>
    <xf numFmtId="177" fontId="1" fillId="12" borderId="0" xfId="7" applyNumberFormat="1" applyFont="1" applyFill="1">
      <alignment vertical="top"/>
    </xf>
    <xf numFmtId="0" fontId="6" fillId="12" borderId="6" xfId="0" applyFont="1" applyFill="1" applyBorder="1" applyAlignment="1">
      <alignment horizontal="left" vertical="top" wrapText="1"/>
    </xf>
    <xf numFmtId="3" fontId="21" fillId="12" borderId="6" xfId="0" applyNumberFormat="1" applyFont="1" applyFill="1" applyBorder="1" applyAlignment="1">
      <alignment horizontal="right" vertical="top" wrapText="1"/>
    </xf>
    <xf numFmtId="3" fontId="21" fillId="12" borderId="0" xfId="0" applyNumberFormat="1" applyFont="1" applyFill="1" applyBorder="1" applyAlignment="1">
      <alignment horizontal="right" vertical="top" wrapText="1"/>
    </xf>
    <xf numFmtId="176" fontId="6" fillId="12" borderId="7" xfId="7" applyNumberFormat="1" applyFont="1" applyFill="1" applyBorder="1" applyAlignment="1">
      <alignment horizontal="right" vertical="top"/>
    </xf>
    <xf numFmtId="3" fontId="6" fillId="12" borderId="6" xfId="0" applyNumberFormat="1" applyFont="1" applyFill="1" applyBorder="1" applyAlignment="1">
      <alignment horizontal="right" vertical="top"/>
    </xf>
    <xf numFmtId="3" fontId="6" fillId="12" borderId="0" xfId="0" applyNumberFormat="1" applyFont="1" applyFill="1" applyBorder="1" applyAlignment="1">
      <alignment horizontal="right" vertical="top"/>
    </xf>
    <xf numFmtId="176" fontId="6" fillId="12" borderId="0" xfId="0" applyNumberFormat="1" applyFont="1" applyFill="1" applyBorder="1" applyAlignment="1">
      <alignment horizontal="right" vertical="top"/>
    </xf>
    <xf numFmtId="0" fontId="6" fillId="12" borderId="6" xfId="0" applyFont="1" applyFill="1" applyBorder="1" applyAlignment="1">
      <alignment vertical="top"/>
    </xf>
    <xf numFmtId="0" fontId="84" fillId="12" borderId="6" xfId="0" applyFont="1" applyFill="1" applyBorder="1" applyAlignment="1">
      <alignment vertical="top"/>
    </xf>
    <xf numFmtId="0" fontId="1" fillId="12" borderId="0" xfId="1" applyFont="1" applyFill="1">
      <alignment vertical="top"/>
    </xf>
    <xf numFmtId="0" fontId="6" fillId="12" borderId="0" xfId="0" applyFont="1" applyFill="1" applyBorder="1" applyAlignment="1">
      <alignment vertical="top"/>
    </xf>
    <xf numFmtId="177" fontId="6" fillId="12" borderId="0" xfId="7" applyNumberFormat="1" applyFont="1" applyFill="1" applyBorder="1" applyAlignment="1">
      <alignment vertical="top"/>
    </xf>
    <xf numFmtId="177" fontId="6" fillId="12" borderId="7" xfId="7" applyNumberFormat="1" applyFont="1" applyFill="1" applyBorder="1" applyAlignment="1">
      <alignment vertical="top"/>
    </xf>
    <xf numFmtId="0" fontId="84" fillId="12" borderId="0" xfId="0" applyFont="1" applyFill="1" applyBorder="1" applyAlignment="1">
      <alignment vertical="top"/>
    </xf>
    <xf numFmtId="176" fontId="6" fillId="12" borderId="7" xfId="7" applyNumberFormat="1" applyFont="1" applyFill="1" applyBorder="1" applyAlignment="1">
      <alignment vertical="top"/>
    </xf>
    <xf numFmtId="176" fontId="6" fillId="12" borderId="0" xfId="0" applyNumberFormat="1" applyFont="1" applyFill="1" applyBorder="1" applyAlignment="1">
      <alignment vertical="top"/>
    </xf>
    <xf numFmtId="177" fontId="84" fillId="12" borderId="7" xfId="7" applyNumberFormat="1" applyFont="1" applyFill="1" applyBorder="1" applyAlignment="1">
      <alignment vertical="top"/>
    </xf>
    <xf numFmtId="0" fontId="6" fillId="12" borderId="0" xfId="0" applyFont="1" applyFill="1" applyBorder="1" applyAlignment="1">
      <alignment horizontal="left" vertical="top"/>
    </xf>
    <xf numFmtId="177" fontId="6" fillId="12" borderId="0" xfId="7" applyNumberFormat="1" applyFont="1" applyFill="1" applyBorder="1" applyAlignment="1">
      <alignment horizontal="left" vertical="top"/>
    </xf>
    <xf numFmtId="177" fontId="6" fillId="12" borderId="7" xfId="7" applyNumberFormat="1" applyFont="1" applyFill="1" applyBorder="1" applyAlignment="1">
      <alignment horizontal="left" vertical="top"/>
    </xf>
    <xf numFmtId="0" fontId="6" fillId="0" borderId="6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3" fontId="21" fillId="0" borderId="6" xfId="0" applyNumberFormat="1" applyFont="1" applyFill="1" applyBorder="1" applyAlignment="1">
      <alignment horizontal="right" vertical="top" wrapText="1"/>
    </xf>
    <xf numFmtId="3" fontId="21" fillId="0" borderId="0" xfId="0" applyNumberFormat="1" applyFont="1" applyFill="1" applyBorder="1" applyAlignment="1">
      <alignment horizontal="right" vertical="top" wrapText="1"/>
    </xf>
    <xf numFmtId="176" fontId="6" fillId="0" borderId="7" xfId="7" applyNumberFormat="1" applyFont="1" applyFill="1" applyBorder="1" applyAlignment="1">
      <alignment horizontal="right" vertical="top"/>
    </xf>
    <xf numFmtId="3" fontId="6" fillId="0" borderId="6" xfId="0" applyNumberFormat="1" applyFont="1" applyFill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/>
    </xf>
    <xf numFmtId="176" fontId="6" fillId="0" borderId="0" xfId="0" applyNumberFormat="1" applyFont="1" applyFill="1" applyBorder="1" applyAlignment="1">
      <alignment horizontal="right" vertical="top"/>
    </xf>
    <xf numFmtId="177" fontId="1" fillId="0" borderId="0" xfId="7" applyNumberFormat="1" applyFont="1" applyFill="1">
      <alignment vertical="top"/>
    </xf>
    <xf numFmtId="0" fontId="6" fillId="0" borderId="0" xfId="0" applyFont="1" applyAlignment="1"/>
    <xf numFmtId="177" fontId="21" fillId="0" borderId="2" xfId="7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6" fillId="0" borderId="3" xfId="0" applyFont="1" applyBorder="1" applyAlignment="1"/>
    <xf numFmtId="0" fontId="95" fillId="0" borderId="0" xfId="0" applyFont="1">
      <alignment vertical="top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180" fontId="91" fillId="0" borderId="1" xfId="7" applyNumberFormat="1" applyFont="1" applyFill="1" applyBorder="1" applyAlignment="1">
      <alignment horizontal="center" vertical="top"/>
    </xf>
    <xf numFmtId="0" fontId="6" fillId="0" borderId="25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3" fontId="7" fillId="0" borderId="0" xfId="0" applyNumberFormat="1" applyFont="1" applyAlignment="1">
      <alignment horizontal="right" vertical="top"/>
    </xf>
    <xf numFmtId="3" fontId="7" fillId="0" borderId="7" xfId="0" applyNumberFormat="1" applyFont="1" applyBorder="1" applyAlignment="1">
      <alignment horizontal="right" vertical="top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3" fontId="7" fillId="0" borderId="3" xfId="0" applyNumberFormat="1" applyFont="1" applyBorder="1" applyAlignment="1">
      <alignment horizontal="right" vertical="top"/>
    </xf>
    <xf numFmtId="3" fontId="7" fillId="0" borderId="5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19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85" fillId="0" borderId="0" xfId="0" applyFont="1" applyAlignment="1">
      <alignment wrapText="1"/>
    </xf>
    <xf numFmtId="0" fontId="94" fillId="0" borderId="0" xfId="0" applyFont="1" applyAlignment="1">
      <alignment wrapText="1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Fill="1" applyBorder="1" applyAlignment="1">
      <alignment horizontal="left" vertical="top" readingOrder="1"/>
    </xf>
    <xf numFmtId="0" fontId="6" fillId="0" borderId="2" xfId="0" applyFont="1" applyFill="1" applyBorder="1" applyAlignment="1">
      <alignment horizontal="left" vertical="top" readingOrder="1"/>
    </xf>
    <xf numFmtId="0" fontId="6" fillId="12" borderId="6" xfId="0" applyFont="1" applyFill="1" applyBorder="1" applyAlignment="1">
      <alignment horizontal="left" vertical="top"/>
    </xf>
    <xf numFmtId="0" fontId="6" fillId="12" borderId="0" xfId="0" applyFont="1" applyFill="1" applyBorder="1" applyAlignment="1">
      <alignment horizontal="left" vertical="top"/>
    </xf>
    <xf numFmtId="0" fontId="6" fillId="12" borderId="7" xfId="0" applyFont="1" applyFill="1" applyBorder="1" applyAlignment="1">
      <alignment horizontal="left" vertical="top"/>
    </xf>
    <xf numFmtId="0" fontId="6" fillId="12" borderId="6" xfId="0" applyFont="1" applyFill="1" applyBorder="1" applyAlignment="1">
      <alignment horizontal="left" vertical="top" readingOrder="1"/>
    </xf>
    <xf numFmtId="0" fontId="6" fillId="12" borderId="0" xfId="0" applyFont="1" applyFill="1" applyBorder="1" applyAlignment="1">
      <alignment horizontal="left" vertical="top" readingOrder="1"/>
    </xf>
    <xf numFmtId="177" fontId="6" fillId="12" borderId="0" xfId="7" applyNumberFormat="1" applyFont="1" applyFill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12" borderId="4" xfId="0" applyFont="1" applyFill="1" applyBorder="1" applyAlignment="1">
      <alignment horizontal="left" vertical="top" wrapText="1"/>
    </xf>
    <xf numFmtId="0" fontId="6" fillId="12" borderId="3" xfId="0" applyFont="1" applyFill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5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百分比" xfId="14" builtinId="5"/>
    <cellStyle name="百分比 2" xfId="9" xr:uid="{00000000-0005-0000-0000-00000E000000}"/>
  </cellStyles>
  <dxfs count="7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1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70407330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0">
          <cell r="N40">
            <v>42531681</v>
          </cell>
        </row>
      </sheetData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 x14ac:dyDescent="0.25">
      <c r="A1" s="63" t="s">
        <v>287</v>
      </c>
    </row>
    <row r="4" spans="1:14" ht="36.6" x14ac:dyDescent="0.25">
      <c r="A4" s="560" t="s">
        <v>286</v>
      </c>
      <c r="B4" s="561"/>
      <c r="C4" s="561"/>
      <c r="D4" s="561"/>
      <c r="E4" s="561"/>
      <c r="F4" s="561"/>
      <c r="G4" s="561"/>
      <c r="H4" s="561"/>
      <c r="I4" s="561"/>
      <c r="J4" s="561"/>
      <c r="K4" s="561"/>
      <c r="L4" s="561"/>
      <c r="M4" s="561"/>
      <c r="N4" s="561"/>
    </row>
    <row r="5" spans="1:14" ht="59.25" customHeight="1" x14ac:dyDescent="0.25"/>
    <row r="6" spans="1:14" ht="59.25" customHeight="1" x14ac:dyDescent="0.25"/>
    <row r="7" spans="1:14" ht="36.6" x14ac:dyDescent="0.25">
      <c r="C7" s="562" t="s">
        <v>122</v>
      </c>
      <c r="D7" s="562"/>
      <c r="E7" s="562"/>
      <c r="F7" s="562"/>
      <c r="G7" s="562"/>
      <c r="H7" s="562"/>
      <c r="I7" s="562"/>
      <c r="J7" s="562"/>
      <c r="K7" s="562"/>
      <c r="L7" s="562"/>
    </row>
    <row r="8" spans="1:14" ht="51.75" customHeight="1" x14ac:dyDescent="0.25"/>
    <row r="9" spans="1:14" ht="51.75" customHeight="1" x14ac:dyDescent="0.25"/>
    <row r="10" spans="1:14" s="67" customFormat="1" ht="33" x14ac:dyDescent="0.25">
      <c r="C10" s="333"/>
      <c r="D10" s="333"/>
      <c r="E10" s="563" t="s">
        <v>123</v>
      </c>
      <c r="F10" s="563"/>
      <c r="G10" s="563"/>
      <c r="H10" s="67">
        <v>109</v>
      </c>
      <c r="I10" s="67" t="s">
        <v>124</v>
      </c>
      <c r="K10" s="73" t="s">
        <v>125</v>
      </c>
      <c r="M10" s="67" t="s">
        <v>299</v>
      </c>
    </row>
    <row r="11" spans="1:14" x14ac:dyDescent="0.25">
      <c r="M11" s="62"/>
    </row>
    <row r="15" spans="1:14" s="64" customFormat="1" ht="34.5" customHeight="1" x14ac:dyDescent="0.25">
      <c r="B15" s="564" t="s">
        <v>126</v>
      </c>
      <c r="C15" s="564"/>
      <c r="D15" s="564"/>
      <c r="E15" s="564"/>
      <c r="F15" s="564"/>
      <c r="H15" s="332"/>
      <c r="I15" s="332" t="s">
        <v>127</v>
      </c>
      <c r="J15" s="332"/>
      <c r="K15" s="332"/>
      <c r="L15" s="332"/>
    </row>
    <row r="16" spans="1:14" ht="12" customHeight="1" x14ac:dyDescent="0.25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3"/>
  <sheetViews>
    <sheetView view="pageBreakPreview" zoomScaleSheetLayoutView="100" workbookViewId="0">
      <selection activeCell="Q23" sqref="Q23"/>
    </sheetView>
  </sheetViews>
  <sheetFormatPr defaultColWidth="9.109375" defaultRowHeight="13.8" x14ac:dyDescent="0.25"/>
  <cols>
    <col min="1" max="1" width="5.44140625" style="484" customWidth="1"/>
    <col min="2" max="2" width="5" style="484" customWidth="1"/>
    <col min="3" max="3" width="20.109375" style="484" customWidth="1"/>
    <col min="4" max="4" width="3.33203125" style="484" customWidth="1"/>
    <col min="5" max="5" width="14" style="62" customWidth="1"/>
    <col min="6" max="6" width="9.109375" style="484"/>
    <col min="7" max="7" width="10.33203125" style="484" customWidth="1"/>
    <col min="8" max="13" width="9.109375" style="484"/>
    <col min="14" max="15" width="3.44140625" style="484" customWidth="1"/>
    <col min="16" max="16" width="5.5546875" style="484" customWidth="1"/>
    <col min="17" max="16384" width="9.109375" style="484"/>
  </cols>
  <sheetData>
    <row r="1" spans="1:16" ht="24.6" x14ac:dyDescent="0.45">
      <c r="A1" s="665" t="str">
        <f>封面!$A$4</f>
        <v>彰化縣地方教育發展基金－彰化縣秀水鄉馬興國民小學</v>
      </c>
      <c r="B1" s="665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5"/>
      <c r="O1" s="665"/>
    </row>
    <row r="2" spans="1:16" ht="19.8" x14ac:dyDescent="0.4">
      <c r="A2" s="666" t="s">
        <v>121</v>
      </c>
      <c r="B2" s="666"/>
      <c r="C2" s="666"/>
      <c r="D2" s="666"/>
      <c r="E2" s="666"/>
      <c r="F2" s="666"/>
      <c r="G2" s="666"/>
      <c r="H2" s="666"/>
      <c r="I2" s="666"/>
      <c r="J2" s="666"/>
      <c r="K2" s="666"/>
      <c r="L2" s="666"/>
      <c r="M2" s="666"/>
      <c r="N2" s="666"/>
      <c r="O2" s="666"/>
    </row>
    <row r="3" spans="1:16" ht="15" x14ac:dyDescent="0.3">
      <c r="A3" s="667" t="str">
        <f>封面!$E$10&amp;封面!$H$10&amp;封面!$I$10&amp;封面!$J$10&amp;封面!$K$10&amp;封面!L10</f>
        <v>中華民國111年1月份</v>
      </c>
      <c r="B3" s="667"/>
      <c r="C3" s="667"/>
      <c r="D3" s="667"/>
      <c r="E3" s="667"/>
      <c r="F3" s="667"/>
      <c r="G3" s="667"/>
      <c r="H3" s="667"/>
      <c r="I3" s="667"/>
      <c r="J3" s="667"/>
      <c r="K3" s="667"/>
      <c r="L3" s="667"/>
      <c r="M3" s="667"/>
      <c r="N3" s="667"/>
      <c r="O3" s="667"/>
    </row>
    <row r="4" spans="1:16" s="485" customFormat="1" ht="16.2" x14ac:dyDescent="0.3">
      <c r="A4" s="485" t="s">
        <v>226</v>
      </c>
      <c r="B4" s="668" t="s">
        <v>227</v>
      </c>
      <c r="C4" s="668"/>
      <c r="D4" s="668"/>
      <c r="E4" s="668"/>
      <c r="F4" s="668"/>
      <c r="G4" s="668"/>
      <c r="H4" s="668"/>
      <c r="I4" s="668"/>
      <c r="J4" s="668"/>
      <c r="K4" s="668"/>
      <c r="L4" s="668"/>
      <c r="M4" s="668"/>
      <c r="N4" s="668"/>
      <c r="O4" s="668"/>
      <c r="P4" s="668"/>
    </row>
    <row r="5" spans="1:16" s="485" customFormat="1" ht="16.2" x14ac:dyDescent="0.3">
      <c r="B5" s="485" t="s">
        <v>453</v>
      </c>
      <c r="C5" s="485" t="s">
        <v>454</v>
      </c>
      <c r="D5" s="390" t="s">
        <v>228</v>
      </c>
      <c r="E5" s="60" t="s">
        <v>199</v>
      </c>
    </row>
    <row r="6" spans="1:16" s="485" customFormat="1" ht="16.2" x14ac:dyDescent="0.3">
      <c r="D6" s="555"/>
      <c r="E6" s="60" t="s">
        <v>200</v>
      </c>
      <c r="H6" s="346" t="s">
        <v>455</v>
      </c>
      <c r="I6" s="346"/>
      <c r="J6" s="346"/>
      <c r="K6" s="346"/>
      <c r="L6" s="346"/>
      <c r="M6" s="346"/>
      <c r="N6" s="346"/>
      <c r="O6" s="346"/>
      <c r="P6" s="346"/>
    </row>
    <row r="7" spans="1:16" s="485" customFormat="1" ht="16.2" x14ac:dyDescent="0.3">
      <c r="B7" s="485" t="s">
        <v>456</v>
      </c>
      <c r="C7" s="485" t="s">
        <v>457</v>
      </c>
      <c r="D7" s="390" t="s">
        <v>228</v>
      </c>
      <c r="E7" s="60" t="s">
        <v>199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5" customFormat="1" ht="16.2" x14ac:dyDescent="0.3">
      <c r="D8" s="558"/>
      <c r="E8" s="60" t="s">
        <v>200</v>
      </c>
      <c r="H8" s="346" t="s">
        <v>458</v>
      </c>
      <c r="I8" s="346"/>
      <c r="J8" s="346"/>
      <c r="K8" s="346"/>
      <c r="L8" s="346"/>
      <c r="M8" s="346"/>
      <c r="N8" s="346"/>
      <c r="O8" s="346"/>
      <c r="P8" s="346"/>
    </row>
    <row r="9" spans="1:16" s="485" customFormat="1" ht="31.2" customHeight="1" x14ac:dyDescent="0.3">
      <c r="D9" s="557"/>
      <c r="E9" s="60"/>
      <c r="H9" s="670" t="s">
        <v>459</v>
      </c>
      <c r="I9" s="671"/>
      <c r="J9" s="671"/>
      <c r="K9" s="671"/>
      <c r="L9" s="671"/>
      <c r="M9" s="671"/>
      <c r="N9" s="671"/>
      <c r="O9" s="671"/>
      <c r="P9" s="671"/>
    </row>
    <row r="10" spans="1:16" s="485" customFormat="1" ht="16.2" x14ac:dyDescent="0.3">
      <c r="B10" s="485" t="s">
        <v>301</v>
      </c>
      <c r="C10" s="485" t="s">
        <v>229</v>
      </c>
      <c r="D10" s="390" t="s">
        <v>228</v>
      </c>
      <c r="E10" s="60" t="s">
        <v>199</v>
      </c>
      <c r="H10" s="346"/>
      <c r="I10" s="346"/>
      <c r="J10" s="346"/>
      <c r="K10" s="346"/>
      <c r="L10" s="346"/>
      <c r="M10" s="346"/>
      <c r="N10" s="346"/>
      <c r="O10" s="346"/>
      <c r="P10" s="346"/>
    </row>
    <row r="11" spans="1:16" s="485" customFormat="1" ht="16.2" x14ac:dyDescent="0.3">
      <c r="D11" s="555"/>
      <c r="E11" s="60" t="s">
        <v>200</v>
      </c>
      <c r="H11" s="346" t="s">
        <v>461</v>
      </c>
      <c r="I11" s="346"/>
      <c r="J11" s="346"/>
      <c r="K11" s="346"/>
      <c r="L11" s="346"/>
      <c r="M11" s="346"/>
      <c r="N11" s="346"/>
      <c r="O11" s="346"/>
      <c r="P11" s="346"/>
    </row>
    <row r="12" spans="1:16" s="485" customFormat="1" ht="16.2" x14ac:dyDescent="0.3">
      <c r="B12" s="485" t="s">
        <v>302</v>
      </c>
      <c r="C12" s="485" t="s">
        <v>230</v>
      </c>
      <c r="D12" s="105" t="s">
        <v>228</v>
      </c>
      <c r="E12" s="60" t="s">
        <v>199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5" customFormat="1" ht="16.2" x14ac:dyDescent="0.3">
      <c r="E13" s="60" t="s">
        <v>200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5" customFormat="1" ht="16.2" x14ac:dyDescent="0.3">
      <c r="B14" s="485" t="s">
        <v>303</v>
      </c>
      <c r="C14" s="486" t="s">
        <v>231</v>
      </c>
      <c r="D14" s="390" t="s">
        <v>228</v>
      </c>
      <c r="E14" s="503" t="s">
        <v>199</v>
      </c>
      <c r="H14" s="346"/>
      <c r="I14" s="346"/>
      <c r="J14" s="346"/>
      <c r="K14" s="346"/>
      <c r="L14" s="346"/>
      <c r="M14" s="346"/>
      <c r="N14" s="346"/>
      <c r="O14" s="346"/>
      <c r="P14" s="346"/>
    </row>
    <row r="15" spans="1:16" s="485" customFormat="1" ht="16.5" customHeight="1" x14ac:dyDescent="0.3">
      <c r="C15" s="486"/>
      <c r="D15" s="555"/>
      <c r="E15" s="504" t="s">
        <v>200</v>
      </c>
      <c r="H15" s="669" t="s">
        <v>305</v>
      </c>
      <c r="I15" s="669"/>
      <c r="J15" s="669"/>
      <c r="K15" s="669"/>
      <c r="L15" s="669"/>
      <c r="M15" s="669"/>
      <c r="N15" s="669"/>
      <c r="O15" s="669"/>
      <c r="P15" s="669"/>
    </row>
    <row r="16" spans="1:16" s="485" customFormat="1" ht="16.5" customHeight="1" x14ac:dyDescent="0.3">
      <c r="C16" s="486"/>
      <c r="D16" s="392"/>
      <c r="E16" s="391"/>
      <c r="H16" s="669"/>
      <c r="I16" s="669"/>
      <c r="J16" s="669"/>
      <c r="K16" s="669"/>
      <c r="L16" s="669"/>
      <c r="M16" s="669"/>
      <c r="N16" s="669"/>
      <c r="O16" s="669"/>
      <c r="P16" s="669"/>
    </row>
    <row r="17" spans="1:16" s="485" customFormat="1" ht="15.75" customHeight="1" x14ac:dyDescent="0.3">
      <c r="C17" s="486"/>
      <c r="D17" s="486"/>
      <c r="E17" s="377"/>
    </row>
    <row r="18" spans="1:16" s="485" customFormat="1" ht="16.2" x14ac:dyDescent="0.3">
      <c r="A18" s="485" t="s">
        <v>232</v>
      </c>
      <c r="B18" s="668" t="s">
        <v>233</v>
      </c>
      <c r="C18" s="668"/>
      <c r="D18" s="668"/>
      <c r="E18" s="668"/>
      <c r="F18" s="668"/>
      <c r="G18" s="668"/>
      <c r="H18" s="668"/>
      <c r="I18" s="668"/>
      <c r="J18" s="668"/>
      <c r="K18" s="668"/>
      <c r="L18" s="668"/>
      <c r="M18" s="668"/>
      <c r="N18" s="668"/>
    </row>
    <row r="19" spans="1:16" s="485" customFormat="1" ht="16.2" x14ac:dyDescent="0.3">
      <c r="B19" s="485" t="s">
        <v>234</v>
      </c>
      <c r="C19" s="486" t="s">
        <v>235</v>
      </c>
      <c r="D19" s="486"/>
      <c r="E19" s="393"/>
    </row>
    <row r="20" spans="1:16" s="485" customFormat="1" ht="16.2" x14ac:dyDescent="0.3">
      <c r="C20" s="486" t="s">
        <v>236</v>
      </c>
      <c r="D20" s="556"/>
      <c r="E20" s="393" t="s">
        <v>237</v>
      </c>
    </row>
    <row r="21" spans="1:16" s="485" customFormat="1" ht="16.2" x14ac:dyDescent="0.3">
      <c r="C21" s="486"/>
      <c r="D21" s="390" t="s">
        <v>228</v>
      </c>
      <c r="E21" s="393" t="s">
        <v>238</v>
      </c>
      <c r="H21" s="217" t="s">
        <v>463</v>
      </c>
    </row>
    <row r="22" spans="1:16" s="485" customFormat="1" ht="16.2" x14ac:dyDescent="0.3">
      <c r="B22" s="485" t="s">
        <v>239</v>
      </c>
      <c r="C22" s="486" t="s">
        <v>240</v>
      </c>
      <c r="D22" s="486"/>
      <c r="E22" s="393"/>
    </row>
    <row r="23" spans="1:16" s="485" customFormat="1" ht="16.2" x14ac:dyDescent="0.3">
      <c r="C23" s="486" t="s">
        <v>304</v>
      </c>
      <c r="D23" s="390" t="s">
        <v>228</v>
      </c>
      <c r="E23" s="393" t="s">
        <v>199</v>
      </c>
    </row>
    <row r="24" spans="1:16" s="485" customFormat="1" ht="16.2" x14ac:dyDescent="0.3">
      <c r="E24" s="60" t="s">
        <v>200</v>
      </c>
      <c r="H24" s="664"/>
      <c r="I24" s="664"/>
      <c r="J24" s="664"/>
      <c r="K24" s="664"/>
      <c r="L24" s="664"/>
      <c r="M24" s="664"/>
      <c r="N24" s="664"/>
      <c r="O24" s="664"/>
      <c r="P24" s="664"/>
    </row>
    <row r="25" spans="1:16" s="485" customFormat="1" ht="16.2" x14ac:dyDescent="0.3">
      <c r="E25" s="61"/>
      <c r="H25" s="664"/>
      <c r="I25" s="664"/>
      <c r="J25" s="664"/>
      <c r="K25" s="664"/>
      <c r="L25" s="664"/>
      <c r="M25" s="664"/>
      <c r="N25" s="664"/>
      <c r="O25" s="664"/>
      <c r="P25" s="664"/>
    </row>
    <row r="26" spans="1:16" s="485" customFormat="1" ht="16.2" x14ac:dyDescent="0.3">
      <c r="E26" s="61"/>
    </row>
    <row r="27" spans="1:16" s="485" customFormat="1" ht="16.2" x14ac:dyDescent="0.3">
      <c r="E27" s="61"/>
    </row>
    <row r="28" spans="1:16" s="485" customFormat="1" ht="16.2" x14ac:dyDescent="0.3">
      <c r="E28" s="61"/>
    </row>
    <row r="29" spans="1:16" s="485" customFormat="1" ht="16.2" x14ac:dyDescent="0.3">
      <c r="E29" s="61"/>
    </row>
    <row r="30" spans="1:16" s="485" customFormat="1" ht="16.2" x14ac:dyDescent="0.3">
      <c r="E30" s="61"/>
    </row>
    <row r="31" spans="1:16" s="485" customFormat="1" ht="16.2" x14ac:dyDescent="0.3">
      <c r="E31" s="61"/>
    </row>
    <row r="32" spans="1:16" s="485" customFormat="1" ht="16.2" x14ac:dyDescent="0.3">
      <c r="E32" s="61"/>
    </row>
    <row r="33" spans="5:5" s="485" customFormat="1" ht="16.2" x14ac:dyDescent="0.3">
      <c r="E33" s="61"/>
    </row>
    <row r="34" spans="5:5" s="485" customFormat="1" ht="16.2" x14ac:dyDescent="0.3">
      <c r="E34" s="61"/>
    </row>
    <row r="35" spans="5:5" s="485" customFormat="1" ht="16.2" x14ac:dyDescent="0.3">
      <c r="E35" s="61"/>
    </row>
    <row r="36" spans="5:5" s="485" customFormat="1" ht="16.2" x14ac:dyDescent="0.3">
      <c r="E36" s="61"/>
    </row>
    <row r="37" spans="5:5" s="485" customFormat="1" ht="16.2" x14ac:dyDescent="0.3">
      <c r="E37" s="61"/>
    </row>
    <row r="38" spans="5:5" s="485" customFormat="1" ht="16.2" x14ac:dyDescent="0.3">
      <c r="E38" s="61"/>
    </row>
    <row r="39" spans="5:5" s="485" customFormat="1" ht="16.2" x14ac:dyDescent="0.3">
      <c r="E39" s="61"/>
    </row>
    <row r="40" spans="5:5" s="485" customFormat="1" ht="16.2" x14ac:dyDescent="0.3">
      <c r="E40" s="61"/>
    </row>
    <row r="41" spans="5:5" s="485" customFormat="1" ht="16.2" x14ac:dyDescent="0.3">
      <c r="E41" s="61"/>
    </row>
    <row r="42" spans="5:5" s="485" customFormat="1" ht="16.2" x14ac:dyDescent="0.3">
      <c r="E42" s="61"/>
    </row>
    <row r="43" spans="5:5" s="485" customFormat="1" ht="16.2" x14ac:dyDescent="0.3">
      <c r="E43" s="61"/>
    </row>
    <row r="44" spans="5:5" s="485" customFormat="1" ht="16.2" x14ac:dyDescent="0.3">
      <c r="E44" s="61"/>
    </row>
    <row r="45" spans="5:5" s="485" customFormat="1" ht="16.2" x14ac:dyDescent="0.3">
      <c r="E45" s="61"/>
    </row>
    <row r="46" spans="5:5" s="485" customFormat="1" ht="16.2" x14ac:dyDescent="0.3">
      <c r="E46" s="61"/>
    </row>
    <row r="47" spans="5:5" s="485" customFormat="1" ht="16.2" x14ac:dyDescent="0.3">
      <c r="E47" s="61"/>
    </row>
    <row r="48" spans="5:5" s="485" customFormat="1" ht="16.2" x14ac:dyDescent="0.3">
      <c r="E48" s="61"/>
    </row>
    <row r="49" spans="5:5" s="485" customFormat="1" ht="16.2" x14ac:dyDescent="0.3">
      <c r="E49" s="61"/>
    </row>
    <row r="50" spans="5:5" s="485" customFormat="1" ht="16.2" x14ac:dyDescent="0.3">
      <c r="E50" s="61"/>
    </row>
    <row r="51" spans="5:5" s="485" customFormat="1" ht="16.2" x14ac:dyDescent="0.3">
      <c r="E51" s="61"/>
    </row>
    <row r="52" spans="5:5" s="485" customFormat="1" ht="16.2" x14ac:dyDescent="0.3">
      <c r="E52" s="61"/>
    </row>
    <row r="53" spans="5:5" s="485" customFormat="1" ht="16.2" x14ac:dyDescent="0.3">
      <c r="E53" s="61"/>
    </row>
    <row r="54" spans="5:5" s="485" customFormat="1" ht="16.2" x14ac:dyDescent="0.3">
      <c r="E54" s="61"/>
    </row>
    <row r="55" spans="5:5" s="485" customFormat="1" ht="16.2" x14ac:dyDescent="0.3">
      <c r="E55" s="61"/>
    </row>
    <row r="56" spans="5:5" s="485" customFormat="1" ht="16.2" x14ac:dyDescent="0.3">
      <c r="E56" s="61"/>
    </row>
    <row r="57" spans="5:5" s="485" customFormat="1" ht="16.2" x14ac:dyDescent="0.3">
      <c r="E57" s="61"/>
    </row>
    <row r="58" spans="5:5" s="485" customFormat="1" ht="16.2" x14ac:dyDescent="0.3">
      <c r="E58" s="61"/>
    </row>
    <row r="59" spans="5:5" s="485" customFormat="1" ht="16.2" x14ac:dyDescent="0.3">
      <c r="E59" s="61"/>
    </row>
    <row r="60" spans="5:5" s="485" customFormat="1" ht="16.2" x14ac:dyDescent="0.3">
      <c r="E60" s="61"/>
    </row>
    <row r="61" spans="5:5" s="485" customFormat="1" ht="16.2" x14ac:dyDescent="0.3">
      <c r="E61" s="61"/>
    </row>
    <row r="62" spans="5:5" s="485" customFormat="1" ht="16.2" x14ac:dyDescent="0.3">
      <c r="E62" s="61"/>
    </row>
    <row r="63" spans="5:5" s="485" customFormat="1" ht="16.2" x14ac:dyDescent="0.3">
      <c r="E63" s="61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Q23" sqref="Q23"/>
      <selection pane="topRight" activeCell="Q23" sqref="Q23"/>
      <selection pane="bottomLeft" activeCell="Q23" sqref="Q23"/>
      <selection pane="bottomRight" activeCell="I28" sqref="I28"/>
    </sheetView>
  </sheetViews>
  <sheetFormatPr defaultColWidth="6.88671875" defaultRowHeight="12.75" customHeight="1" x14ac:dyDescent="0.25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 x14ac:dyDescent="0.25">
      <c r="A1" s="639" t="str">
        <f>封面!$A$4</f>
        <v>彰化縣地方教育發展基金－彰化縣秀水鄉馬興國民小學</v>
      </c>
      <c r="B1" s="639"/>
      <c r="C1" s="639"/>
      <c r="D1" s="639"/>
      <c r="E1" s="639"/>
      <c r="F1" s="639"/>
      <c r="G1" s="639"/>
      <c r="H1" s="639"/>
      <c r="I1" s="567"/>
      <c r="J1" s="567"/>
      <c r="K1" s="567"/>
      <c r="L1" s="567"/>
      <c r="M1" s="567"/>
      <c r="N1" s="567"/>
    </row>
    <row r="2" spans="1:18" ht="19.5" hidden="1" customHeight="1" x14ac:dyDescent="0.25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 x14ac:dyDescent="0.25"/>
    <row r="4" spans="1:18" ht="22.2" x14ac:dyDescent="0.25">
      <c r="A4" s="656" t="s">
        <v>321</v>
      </c>
      <c r="B4" s="656"/>
      <c r="C4" s="656"/>
      <c r="D4" s="656"/>
      <c r="E4" s="656"/>
      <c r="F4" s="656"/>
      <c r="G4" s="656"/>
      <c r="H4" s="656"/>
      <c r="I4" s="567"/>
      <c r="J4" s="567"/>
      <c r="K4" s="567"/>
      <c r="L4" s="567"/>
      <c r="M4" s="567"/>
      <c r="N4" s="567"/>
    </row>
    <row r="5" spans="1:18" ht="6.75" customHeight="1" x14ac:dyDescent="0.25"/>
    <row r="6" spans="1:18" ht="16.2" x14ac:dyDescent="0.25">
      <c r="A6" s="640" t="str">
        <f>封面!$E$10&amp;封面!$H$10&amp;封面!$I$10&amp;封面!$J$10&amp;封面!$K$10&amp;封面!$O$10&amp;"日"</f>
        <v>中華民國111年1月31日</v>
      </c>
      <c r="B6" s="640"/>
      <c r="C6" s="640"/>
      <c r="D6" s="640"/>
      <c r="E6" s="640"/>
      <c r="F6" s="640"/>
      <c r="G6" s="640"/>
      <c r="H6" s="640"/>
      <c r="I6" s="567"/>
      <c r="J6" s="567"/>
      <c r="K6" s="567"/>
      <c r="L6" s="567"/>
      <c r="M6" s="567"/>
      <c r="N6" s="567"/>
    </row>
    <row r="7" spans="1:18" ht="16.2" x14ac:dyDescent="0.25">
      <c r="A7" s="603" t="s">
        <v>41</v>
      </c>
      <c r="B7" s="603"/>
      <c r="C7" s="603"/>
      <c r="D7" s="603"/>
      <c r="E7" s="603"/>
      <c r="F7" s="603"/>
      <c r="G7" s="603"/>
      <c r="H7" s="603"/>
      <c r="I7" s="567"/>
      <c r="J7" s="567"/>
      <c r="K7" s="567"/>
      <c r="L7" s="567"/>
      <c r="M7" s="567"/>
      <c r="N7" s="567"/>
    </row>
    <row r="8" spans="1:18" ht="6" customHeight="1" x14ac:dyDescent="0.25"/>
    <row r="9" spans="1:18" s="352" customFormat="1" ht="24" customHeight="1" x14ac:dyDescent="0.25">
      <c r="A9" s="685" t="s">
        <v>318</v>
      </c>
      <c r="B9" s="686"/>
      <c r="C9" s="686"/>
      <c r="D9" s="686"/>
      <c r="E9" s="686"/>
      <c r="F9" s="685" t="s">
        <v>203</v>
      </c>
      <c r="G9" s="686"/>
      <c r="H9" s="686"/>
      <c r="I9" s="686"/>
      <c r="J9" s="686"/>
      <c r="K9" s="686"/>
      <c r="L9" s="686"/>
      <c r="M9" s="686"/>
      <c r="N9" s="686"/>
      <c r="O9" s="351"/>
      <c r="P9" s="351"/>
      <c r="Q9" s="351"/>
      <c r="R9" s="351"/>
    </row>
    <row r="10" spans="1:18" s="352" customFormat="1" ht="24" customHeight="1" x14ac:dyDescent="0.25">
      <c r="A10" s="686"/>
      <c r="B10" s="686"/>
      <c r="C10" s="686"/>
      <c r="D10" s="686"/>
      <c r="E10" s="686"/>
      <c r="F10" s="682" t="s">
        <v>319</v>
      </c>
      <c r="G10" s="683"/>
      <c r="H10" s="683"/>
      <c r="I10" s="684"/>
      <c r="J10" s="689" t="s">
        <v>320</v>
      </c>
      <c r="K10" s="689"/>
      <c r="L10" s="689"/>
      <c r="M10" s="689"/>
      <c r="N10" s="689"/>
    </row>
    <row r="11" spans="1:18" s="344" customFormat="1" ht="12.75" hidden="1" customHeight="1" x14ac:dyDescent="0.25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 x14ac:dyDescent="0.25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 x14ac:dyDescent="0.25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4" customFormat="1" ht="16.2" customHeight="1" x14ac:dyDescent="0.25">
      <c r="A14" s="687" t="s">
        <v>410</v>
      </c>
      <c r="B14" s="688"/>
      <c r="C14" s="688"/>
      <c r="D14" s="688"/>
      <c r="E14" s="517"/>
      <c r="F14" s="518"/>
      <c r="G14" s="519"/>
      <c r="H14" s="519"/>
      <c r="I14" s="520">
        <f>SUM(I15:I25)/2</f>
        <v>9027899</v>
      </c>
      <c r="J14" s="521"/>
      <c r="K14" s="522"/>
      <c r="L14" s="522"/>
      <c r="M14" s="523"/>
      <c r="N14" s="520">
        <f>I14</f>
        <v>9027899</v>
      </c>
    </row>
    <row r="15" spans="1:18" s="524" customFormat="1" ht="16.2" hidden="1" x14ac:dyDescent="0.25">
      <c r="A15" s="525"/>
      <c r="B15" s="677" t="s">
        <v>411</v>
      </c>
      <c r="C15" s="677"/>
      <c r="D15" s="677"/>
      <c r="E15" s="678"/>
      <c r="F15" s="526"/>
      <c r="G15" s="527"/>
      <c r="H15" s="527"/>
      <c r="I15" s="528">
        <f>I16</f>
        <v>0</v>
      </c>
      <c r="J15" s="529"/>
      <c r="K15" s="530"/>
      <c r="L15" s="530"/>
      <c r="M15" s="531"/>
      <c r="N15" s="528">
        <f t="shared" ref="N15:N37" si="0">I15</f>
        <v>0</v>
      </c>
    </row>
    <row r="16" spans="1:18" s="482" customFormat="1" ht="16.2" hidden="1" x14ac:dyDescent="0.25">
      <c r="A16" s="481"/>
      <c r="B16" s="476"/>
      <c r="C16" s="477" t="s">
        <v>412</v>
      </c>
      <c r="D16" s="477"/>
      <c r="E16" s="478"/>
      <c r="F16" s="435"/>
      <c r="G16" s="436"/>
      <c r="H16" s="436"/>
      <c r="I16" s="454"/>
      <c r="J16" s="455"/>
      <c r="K16" s="456"/>
      <c r="L16" s="456"/>
      <c r="M16" s="457"/>
      <c r="N16" s="454">
        <f t="shared" si="0"/>
        <v>0</v>
      </c>
    </row>
    <row r="17" spans="1:14" s="524" customFormat="1" ht="16.2" x14ac:dyDescent="0.25">
      <c r="A17" s="532"/>
      <c r="B17" s="677" t="s">
        <v>339</v>
      </c>
      <c r="C17" s="677"/>
      <c r="D17" s="677"/>
      <c r="E17" s="678"/>
      <c r="F17" s="526"/>
      <c r="G17" s="527"/>
      <c r="H17" s="527"/>
      <c r="I17" s="528">
        <f>SUM(I18:I21)</f>
        <v>2884899</v>
      </c>
      <c r="J17" s="529"/>
      <c r="K17" s="530"/>
      <c r="L17" s="530"/>
      <c r="M17" s="531"/>
      <c r="N17" s="528">
        <f t="shared" si="0"/>
        <v>2884899</v>
      </c>
    </row>
    <row r="18" spans="1:14" s="554" customFormat="1" ht="16.2" hidden="1" x14ac:dyDescent="0.25">
      <c r="A18" s="545"/>
      <c r="B18" s="546"/>
      <c r="C18" s="477" t="s">
        <v>462</v>
      </c>
      <c r="D18" s="546"/>
      <c r="E18" s="547"/>
      <c r="F18" s="548"/>
      <c r="G18" s="549"/>
      <c r="H18" s="549"/>
      <c r="I18" s="550"/>
      <c r="J18" s="551"/>
      <c r="K18" s="552"/>
      <c r="L18" s="552"/>
      <c r="M18" s="553"/>
      <c r="N18" s="454">
        <f t="shared" si="0"/>
        <v>0</v>
      </c>
    </row>
    <row r="19" spans="1:14" s="482" customFormat="1" ht="16.2" hidden="1" x14ac:dyDescent="0.25">
      <c r="A19" s="445"/>
      <c r="B19" s="476"/>
      <c r="C19" s="477" t="s">
        <v>413</v>
      </c>
      <c r="D19" s="477"/>
      <c r="E19" s="478"/>
      <c r="F19" s="435"/>
      <c r="G19" s="436"/>
      <c r="H19" s="436"/>
      <c r="I19" s="454"/>
      <c r="J19" s="455"/>
      <c r="K19" s="456"/>
      <c r="L19" s="456"/>
      <c r="M19" s="457"/>
      <c r="N19" s="454">
        <f t="shared" si="0"/>
        <v>0</v>
      </c>
    </row>
    <row r="20" spans="1:14" s="482" customFormat="1" ht="16.2" hidden="1" customHeight="1" x14ac:dyDescent="0.25">
      <c r="A20" s="445"/>
      <c r="B20" s="476"/>
      <c r="C20" s="477" t="s">
        <v>414</v>
      </c>
      <c r="D20" s="477"/>
      <c r="E20" s="478"/>
      <c r="F20" s="435"/>
      <c r="G20" s="436"/>
      <c r="H20" s="436"/>
      <c r="I20" s="454"/>
      <c r="J20" s="455"/>
      <c r="K20" s="456"/>
      <c r="L20" s="456"/>
      <c r="M20" s="457"/>
      <c r="N20" s="454">
        <f t="shared" si="0"/>
        <v>0</v>
      </c>
    </row>
    <row r="21" spans="1:14" s="482" customFormat="1" ht="16.2" x14ac:dyDescent="0.25">
      <c r="A21" s="445"/>
      <c r="B21" s="476"/>
      <c r="C21" s="477" t="s">
        <v>415</v>
      </c>
      <c r="D21" s="477"/>
      <c r="E21" s="478"/>
      <c r="F21" s="435"/>
      <c r="G21" s="436"/>
      <c r="H21" s="436"/>
      <c r="I21" s="454">
        <v>2884899</v>
      </c>
      <c r="J21" s="455"/>
      <c r="K21" s="456"/>
      <c r="L21" s="456"/>
      <c r="M21" s="457"/>
      <c r="N21" s="454">
        <f t="shared" si="0"/>
        <v>2884899</v>
      </c>
    </row>
    <row r="22" spans="1:14" s="534" customFormat="1" ht="16.2" x14ac:dyDescent="0.25">
      <c r="A22" s="533"/>
      <c r="B22" s="677" t="s">
        <v>416</v>
      </c>
      <c r="C22" s="677"/>
      <c r="D22" s="677"/>
      <c r="E22" s="678"/>
      <c r="F22" s="526"/>
      <c r="G22" s="527"/>
      <c r="H22" s="527"/>
      <c r="I22" s="528">
        <f>I23</f>
        <v>6143000</v>
      </c>
      <c r="J22" s="529"/>
      <c r="K22" s="530"/>
      <c r="L22" s="530"/>
      <c r="M22" s="531"/>
      <c r="N22" s="528">
        <f t="shared" si="0"/>
        <v>6143000</v>
      </c>
    </row>
    <row r="23" spans="1:14" s="483" customFormat="1" ht="16.2" x14ac:dyDescent="0.25">
      <c r="A23" s="446"/>
      <c r="B23" s="449"/>
      <c r="C23" s="450" t="s">
        <v>417</v>
      </c>
      <c r="D23" s="450"/>
      <c r="E23" s="451"/>
      <c r="F23" s="446"/>
      <c r="G23" s="447"/>
      <c r="H23" s="447"/>
      <c r="I23" s="452">
        <v>6143000</v>
      </c>
      <c r="J23" s="445"/>
      <c r="K23" s="449"/>
      <c r="L23" s="449"/>
      <c r="M23" s="453"/>
      <c r="N23" s="454">
        <f t="shared" si="0"/>
        <v>6143000</v>
      </c>
    </row>
    <row r="24" spans="1:14" s="534" customFormat="1" ht="16.2" hidden="1" x14ac:dyDescent="0.25">
      <c r="A24" s="533"/>
      <c r="B24" s="535" t="s">
        <v>418</v>
      </c>
      <c r="C24" s="536"/>
      <c r="D24" s="536"/>
      <c r="E24" s="537"/>
      <c r="F24" s="533"/>
      <c r="G24" s="538"/>
      <c r="H24" s="538"/>
      <c r="I24" s="539">
        <f>I25</f>
        <v>0</v>
      </c>
      <c r="J24" s="532"/>
      <c r="K24" s="535"/>
      <c r="L24" s="535"/>
      <c r="M24" s="540"/>
      <c r="N24" s="539">
        <f t="shared" si="0"/>
        <v>0</v>
      </c>
    </row>
    <row r="25" spans="1:14" s="483" customFormat="1" ht="16.2" hidden="1" x14ac:dyDescent="0.25">
      <c r="A25" s="446"/>
      <c r="B25" s="449"/>
      <c r="C25" s="450" t="s">
        <v>419</v>
      </c>
      <c r="D25" s="450"/>
      <c r="E25" s="451"/>
      <c r="F25" s="446"/>
      <c r="G25" s="447"/>
      <c r="H25" s="447"/>
      <c r="I25" s="452"/>
      <c r="J25" s="445"/>
      <c r="K25" s="449"/>
      <c r="L25" s="449"/>
      <c r="M25" s="453"/>
      <c r="N25" s="454">
        <f t="shared" si="0"/>
        <v>0</v>
      </c>
    </row>
    <row r="26" spans="1:14" s="534" customFormat="1" ht="16.2" x14ac:dyDescent="0.25">
      <c r="A26" s="676" t="s">
        <v>340</v>
      </c>
      <c r="B26" s="677"/>
      <c r="C26" s="677"/>
      <c r="D26" s="677"/>
      <c r="E26" s="541"/>
      <c r="F26" s="526"/>
      <c r="G26" s="527"/>
      <c r="H26" s="527"/>
      <c r="I26" s="528">
        <f>SUM(I27:I36)/2</f>
        <v>7157775</v>
      </c>
      <c r="J26" s="529"/>
      <c r="K26" s="530"/>
      <c r="L26" s="530"/>
      <c r="M26" s="531"/>
      <c r="N26" s="528">
        <f t="shared" si="0"/>
        <v>7157775</v>
      </c>
    </row>
    <row r="27" spans="1:14" s="534" customFormat="1" ht="16.2" x14ac:dyDescent="0.25">
      <c r="A27" s="533"/>
      <c r="B27" s="677" t="s">
        <v>420</v>
      </c>
      <c r="C27" s="677"/>
      <c r="D27" s="677"/>
      <c r="E27" s="678"/>
      <c r="F27" s="526"/>
      <c r="G27" s="527"/>
      <c r="H27" s="527"/>
      <c r="I27" s="528">
        <f>I28</f>
        <v>6896399</v>
      </c>
      <c r="J27" s="529"/>
      <c r="K27" s="530"/>
      <c r="L27" s="530"/>
      <c r="M27" s="531"/>
      <c r="N27" s="528">
        <f t="shared" si="0"/>
        <v>6896399</v>
      </c>
    </row>
    <row r="28" spans="1:14" s="483" customFormat="1" ht="16.2" customHeight="1" x14ac:dyDescent="0.25">
      <c r="A28" s="446"/>
      <c r="B28" s="476"/>
      <c r="C28" s="477" t="s">
        <v>420</v>
      </c>
      <c r="D28" s="477"/>
      <c r="E28" s="478"/>
      <c r="F28" s="435"/>
      <c r="G28" s="436"/>
      <c r="H28" s="436"/>
      <c r="I28" s="454">
        <v>6896399</v>
      </c>
      <c r="J28" s="455"/>
      <c r="K28" s="456"/>
      <c r="L28" s="456"/>
      <c r="M28" s="457"/>
      <c r="N28" s="454">
        <f t="shared" si="0"/>
        <v>6896399</v>
      </c>
    </row>
    <row r="29" spans="1:14" s="534" customFormat="1" ht="16.2" x14ac:dyDescent="0.25">
      <c r="A29" s="533"/>
      <c r="B29" s="677" t="s">
        <v>421</v>
      </c>
      <c r="C29" s="677"/>
      <c r="D29" s="677"/>
      <c r="E29" s="678"/>
      <c r="F29" s="526"/>
      <c r="G29" s="527"/>
      <c r="H29" s="527"/>
      <c r="I29" s="528">
        <f>I30</f>
        <v>76510</v>
      </c>
      <c r="J29" s="529"/>
      <c r="K29" s="530"/>
      <c r="L29" s="530"/>
      <c r="M29" s="531"/>
      <c r="N29" s="528">
        <f t="shared" si="0"/>
        <v>76510</v>
      </c>
    </row>
    <row r="30" spans="1:14" s="483" customFormat="1" ht="16.2" customHeight="1" x14ac:dyDescent="0.25">
      <c r="A30" s="446"/>
      <c r="B30" s="476"/>
      <c r="C30" s="477" t="s">
        <v>421</v>
      </c>
      <c r="D30" s="477"/>
      <c r="E30" s="478"/>
      <c r="F30" s="435"/>
      <c r="G30" s="436"/>
      <c r="H30" s="436"/>
      <c r="I30" s="454">
        <v>76510</v>
      </c>
      <c r="J30" s="455"/>
      <c r="K30" s="456"/>
      <c r="L30" s="456"/>
      <c r="M30" s="457"/>
      <c r="N30" s="454">
        <f t="shared" si="0"/>
        <v>76510</v>
      </c>
    </row>
    <row r="31" spans="1:14" s="534" customFormat="1" ht="16.2" hidden="1" customHeight="1" x14ac:dyDescent="0.25">
      <c r="A31" s="533"/>
      <c r="B31" s="542" t="s">
        <v>422</v>
      </c>
      <c r="C31" s="543"/>
      <c r="D31" s="543"/>
      <c r="E31" s="544"/>
      <c r="F31" s="526"/>
      <c r="G31" s="527"/>
      <c r="H31" s="527"/>
      <c r="I31" s="528">
        <f>I32</f>
        <v>0</v>
      </c>
      <c r="J31" s="529"/>
      <c r="K31" s="530"/>
      <c r="L31" s="530"/>
      <c r="M31" s="531"/>
      <c r="N31" s="528">
        <f t="shared" si="0"/>
        <v>0</v>
      </c>
    </row>
    <row r="32" spans="1:14" s="483" customFormat="1" ht="16.2" hidden="1" customHeight="1" x14ac:dyDescent="0.25">
      <c r="A32" s="446"/>
      <c r="B32" s="476"/>
      <c r="C32" s="477" t="s">
        <v>423</v>
      </c>
      <c r="D32" s="477"/>
      <c r="E32" s="478"/>
      <c r="F32" s="435"/>
      <c r="G32" s="436"/>
      <c r="H32" s="436"/>
      <c r="I32" s="454"/>
      <c r="J32" s="455"/>
      <c r="K32" s="456"/>
      <c r="L32" s="456"/>
      <c r="M32" s="457"/>
      <c r="N32" s="454">
        <f t="shared" si="0"/>
        <v>0</v>
      </c>
    </row>
    <row r="33" spans="1:14" s="534" customFormat="1" ht="16.2" customHeight="1" x14ac:dyDescent="0.25">
      <c r="A33" s="533"/>
      <c r="B33" s="677" t="s">
        <v>424</v>
      </c>
      <c r="C33" s="677"/>
      <c r="D33" s="677"/>
      <c r="E33" s="678"/>
      <c r="F33" s="526"/>
      <c r="G33" s="527"/>
      <c r="H33" s="527"/>
      <c r="I33" s="528">
        <f>I34</f>
        <v>184866</v>
      </c>
      <c r="J33" s="529"/>
      <c r="K33" s="530"/>
      <c r="L33" s="530"/>
      <c r="M33" s="531"/>
      <c r="N33" s="528">
        <f t="shared" si="0"/>
        <v>184866</v>
      </c>
    </row>
    <row r="34" spans="1:14" s="483" customFormat="1" ht="16.2" x14ac:dyDescent="0.25">
      <c r="A34" s="446"/>
      <c r="B34" s="449"/>
      <c r="C34" s="450" t="s">
        <v>425</v>
      </c>
      <c r="D34" s="450"/>
      <c r="E34" s="451"/>
      <c r="F34" s="446"/>
      <c r="G34" s="447"/>
      <c r="H34" s="447"/>
      <c r="I34" s="454">
        <v>184866</v>
      </c>
      <c r="J34" s="445"/>
      <c r="K34" s="449"/>
      <c r="L34" s="449"/>
      <c r="M34" s="453"/>
      <c r="N34" s="454">
        <f t="shared" si="0"/>
        <v>184866</v>
      </c>
    </row>
    <row r="35" spans="1:14" s="534" customFormat="1" ht="16.2" hidden="1" x14ac:dyDescent="0.25">
      <c r="A35" s="533"/>
      <c r="B35" s="535" t="s">
        <v>426</v>
      </c>
      <c r="C35" s="536"/>
      <c r="D35" s="536"/>
      <c r="E35" s="537"/>
      <c r="F35" s="533"/>
      <c r="G35" s="538"/>
      <c r="H35" s="538"/>
      <c r="I35" s="528">
        <f>I36</f>
        <v>0</v>
      </c>
      <c r="J35" s="532"/>
      <c r="K35" s="535"/>
      <c r="L35" s="535"/>
      <c r="M35" s="540"/>
      <c r="N35" s="528">
        <f t="shared" si="0"/>
        <v>0</v>
      </c>
    </row>
    <row r="36" spans="1:14" s="483" customFormat="1" ht="16.2" hidden="1" x14ac:dyDescent="0.25">
      <c r="A36" s="446"/>
      <c r="B36" s="449"/>
      <c r="C36" s="450" t="s">
        <v>426</v>
      </c>
      <c r="D36" s="450"/>
      <c r="E36" s="451"/>
      <c r="F36" s="446"/>
      <c r="G36" s="447"/>
      <c r="H36" s="447"/>
      <c r="I36" s="454"/>
      <c r="J36" s="445"/>
      <c r="K36" s="449"/>
      <c r="L36" s="449"/>
      <c r="M36" s="453"/>
      <c r="N36" s="454">
        <f t="shared" si="0"/>
        <v>0</v>
      </c>
    </row>
    <row r="37" spans="1:14" s="534" customFormat="1" ht="16.2" x14ac:dyDescent="0.25">
      <c r="A37" s="679" t="s">
        <v>427</v>
      </c>
      <c r="B37" s="680"/>
      <c r="C37" s="681"/>
      <c r="D37" s="681"/>
      <c r="E37" s="541"/>
      <c r="F37" s="526"/>
      <c r="G37" s="527"/>
      <c r="H37" s="527"/>
      <c r="I37" s="528">
        <f>I14-I26</f>
        <v>1870124</v>
      </c>
      <c r="J37" s="529"/>
      <c r="K37" s="530"/>
      <c r="L37" s="530"/>
      <c r="M37" s="531"/>
      <c r="N37" s="528">
        <f t="shared" si="0"/>
        <v>1870124</v>
      </c>
    </row>
    <row r="38" spans="1:14" s="483" customFormat="1" ht="16.2" x14ac:dyDescent="0.25">
      <c r="A38" s="672" t="s">
        <v>341</v>
      </c>
      <c r="B38" s="673"/>
      <c r="C38" s="673"/>
      <c r="D38" s="673"/>
      <c r="E38" s="448"/>
      <c r="F38" s="359"/>
      <c r="G38" s="360"/>
      <c r="H38" s="361"/>
      <c r="I38" s="454"/>
      <c r="J38" s="455"/>
      <c r="K38" s="456"/>
      <c r="L38" s="456"/>
      <c r="M38" s="457"/>
      <c r="N38" s="454">
        <f>[3]收支!$N$40</f>
        <v>42531681</v>
      </c>
    </row>
    <row r="39" spans="1:14" s="483" customFormat="1" ht="16.2" x14ac:dyDescent="0.25">
      <c r="A39" s="672" t="s">
        <v>342</v>
      </c>
      <c r="B39" s="673"/>
      <c r="C39" s="673"/>
      <c r="D39" s="673"/>
      <c r="E39" s="448"/>
      <c r="F39" s="362"/>
      <c r="G39" s="360"/>
      <c r="H39" s="363"/>
      <c r="I39" s="454"/>
      <c r="J39" s="445"/>
      <c r="K39" s="449"/>
      <c r="L39" s="449"/>
      <c r="M39" s="453"/>
      <c r="N39" s="454">
        <f>I39</f>
        <v>0</v>
      </c>
    </row>
    <row r="40" spans="1:14" s="516" customFormat="1" ht="16.2" x14ac:dyDescent="0.25">
      <c r="A40" s="674" t="s">
        <v>428</v>
      </c>
      <c r="B40" s="675"/>
      <c r="C40" s="675"/>
      <c r="D40" s="675"/>
      <c r="E40" s="508"/>
      <c r="F40" s="509"/>
      <c r="G40" s="510"/>
      <c r="H40" s="511"/>
      <c r="I40" s="512"/>
      <c r="J40" s="513"/>
      <c r="K40" s="514"/>
      <c r="L40" s="514"/>
      <c r="M40" s="515"/>
      <c r="N40" s="512">
        <f>N37+N38-N39</f>
        <v>44401805</v>
      </c>
    </row>
    <row r="41" spans="1:14" s="482" customFormat="1" ht="12.75" hidden="1" customHeight="1" x14ac:dyDescent="0.25">
      <c r="A41" s="364"/>
      <c r="B41" s="364"/>
      <c r="C41" s="364"/>
      <c r="D41" s="364"/>
      <c r="E41" s="483"/>
      <c r="F41" s="483"/>
      <c r="G41" s="483"/>
      <c r="H41" s="483"/>
      <c r="I41" s="483">
        <f>[4]Sheet1!I27</f>
        <v>0</v>
      </c>
    </row>
    <row r="42" spans="1:14" s="483" customFormat="1" ht="16.2" x14ac:dyDescent="0.25">
      <c r="A42" s="364" t="s">
        <v>429</v>
      </c>
      <c r="B42" s="364"/>
      <c r="C42" s="364"/>
      <c r="D42" s="364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Q23" sqref="Q23"/>
      <selection pane="topRight" activeCell="Q23" sqref="Q23"/>
      <selection pane="bottomLeft" activeCell="Q23" sqref="Q23"/>
      <selection pane="bottomRight" activeCell="D29" sqref="D29"/>
    </sheetView>
  </sheetViews>
  <sheetFormatPr defaultColWidth="6.88671875" defaultRowHeight="12.75" customHeight="1" x14ac:dyDescent="0.25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 x14ac:dyDescent="0.25">
      <c r="A1" s="639" t="str">
        <f>封面!$A$4</f>
        <v>彰化縣地方教育發展基金－彰化縣秀水鄉馬興國民小學</v>
      </c>
      <c r="B1" s="639"/>
      <c r="C1" s="639"/>
      <c r="D1" s="639"/>
      <c r="E1" s="639"/>
      <c r="F1" s="639"/>
      <c r="G1" s="567"/>
      <c r="H1" s="567"/>
      <c r="I1" s="567"/>
    </row>
    <row r="2" spans="1:10" ht="19.5" hidden="1" customHeight="1" x14ac:dyDescent="0.25">
      <c r="A2" s="339"/>
      <c r="B2" s="339"/>
      <c r="C2" s="339"/>
      <c r="D2" s="339"/>
      <c r="E2" s="339"/>
      <c r="F2" s="339"/>
    </row>
    <row r="3" spans="1:10" ht="14.25" hidden="1" customHeight="1" x14ac:dyDescent="0.25"/>
    <row r="4" spans="1:10" ht="22.2" x14ac:dyDescent="0.25">
      <c r="A4" s="656" t="s">
        <v>322</v>
      </c>
      <c r="B4" s="656"/>
      <c r="C4" s="656"/>
      <c r="D4" s="656"/>
      <c r="E4" s="656"/>
      <c r="F4" s="656"/>
      <c r="G4" s="567"/>
      <c r="H4" s="567"/>
      <c r="I4" s="567"/>
    </row>
    <row r="5" spans="1:10" ht="6.75" customHeight="1" x14ac:dyDescent="0.25"/>
    <row r="6" spans="1:10" ht="16.2" x14ac:dyDescent="0.25">
      <c r="A6" s="640" t="str">
        <f>封面!$E$10&amp;封面!$H$10&amp;封面!$I$10&amp;封面!$J$10&amp;封面!$K$10&amp;封面!L10</f>
        <v>中華民國111年1月份</v>
      </c>
      <c r="B6" s="640"/>
      <c r="C6" s="640"/>
      <c r="D6" s="640"/>
      <c r="E6" s="640"/>
      <c r="F6" s="640"/>
      <c r="G6" s="567"/>
      <c r="H6" s="567"/>
      <c r="I6" s="567"/>
    </row>
    <row r="7" spans="1:10" ht="16.2" x14ac:dyDescent="0.25">
      <c r="A7" s="603" t="s">
        <v>41</v>
      </c>
      <c r="B7" s="603"/>
      <c r="C7" s="603"/>
      <c r="D7" s="603"/>
      <c r="E7" s="603"/>
      <c r="F7" s="603"/>
      <c r="G7" s="567"/>
      <c r="H7" s="567"/>
      <c r="I7" s="567"/>
    </row>
    <row r="8" spans="1:10" ht="6" customHeight="1" x14ac:dyDescent="0.25"/>
    <row r="9" spans="1:10" s="365" customFormat="1" ht="42.75" customHeight="1" x14ac:dyDescent="0.25">
      <c r="A9" s="686" t="s">
        <v>323</v>
      </c>
      <c r="B9" s="686"/>
      <c r="C9" s="366" t="s">
        <v>324</v>
      </c>
      <c r="D9" s="367" t="s">
        <v>325</v>
      </c>
      <c r="E9" s="367" t="s">
        <v>326</v>
      </c>
      <c r="F9" s="367"/>
      <c r="G9" s="686" t="s">
        <v>327</v>
      </c>
      <c r="H9" s="701"/>
      <c r="I9" s="701"/>
    </row>
    <row r="10" spans="1:10" s="344" customFormat="1" ht="12.75" hidden="1" customHeight="1" x14ac:dyDescent="0.25">
      <c r="A10" s="368"/>
      <c r="B10" s="368"/>
      <c r="C10" s="369"/>
      <c r="D10" s="369"/>
      <c r="E10" s="341"/>
      <c r="F10" s="341"/>
      <c r="G10" s="702" t="s">
        <v>327</v>
      </c>
      <c r="H10" s="703"/>
      <c r="I10" s="703"/>
    </row>
    <row r="11" spans="1:10" s="344" customFormat="1" ht="12.75" hidden="1" customHeight="1" x14ac:dyDescent="0.25">
      <c r="A11" s="368"/>
      <c r="B11" s="368"/>
      <c r="C11" s="369"/>
      <c r="D11" s="369"/>
      <c r="E11" s="369"/>
      <c r="F11" s="369"/>
      <c r="G11" s="702" t="s">
        <v>327</v>
      </c>
      <c r="H11" s="703"/>
      <c r="I11" s="703"/>
    </row>
    <row r="12" spans="1:10" s="344" customFormat="1" ht="9" hidden="1" customHeight="1" x14ac:dyDescent="0.25">
      <c r="A12" s="368"/>
      <c r="B12" s="368"/>
      <c r="C12" s="369"/>
      <c r="D12" s="369"/>
      <c r="E12" s="369"/>
      <c r="F12" s="369"/>
      <c r="G12" s="702" t="s">
        <v>327</v>
      </c>
      <c r="H12" s="703"/>
      <c r="I12" s="703"/>
    </row>
    <row r="13" spans="1:10" s="482" customFormat="1" ht="16.2" x14ac:dyDescent="0.25">
      <c r="A13" s="704" t="s">
        <v>430</v>
      </c>
      <c r="B13" s="704"/>
      <c r="C13" s="466">
        <f>SUM(C14:C17)</f>
        <v>6143000</v>
      </c>
      <c r="D13" s="466">
        <f t="shared" ref="D13:E13" si="0">SUM(D14:D17)</f>
        <v>2884899</v>
      </c>
      <c r="E13" s="466">
        <f t="shared" si="0"/>
        <v>9027899</v>
      </c>
      <c r="F13" s="370"/>
      <c r="G13" s="700" t="s">
        <v>431</v>
      </c>
      <c r="H13" s="698"/>
      <c r="I13" s="699"/>
      <c r="J13" s="482">
        <f>D13</f>
        <v>2884899</v>
      </c>
    </row>
    <row r="14" spans="1:10" s="482" customFormat="1" ht="16.2" hidden="1" x14ac:dyDescent="0.25">
      <c r="A14" s="357"/>
      <c r="B14" s="480" t="s">
        <v>432</v>
      </c>
      <c r="C14" s="458"/>
      <c r="D14" s="458"/>
      <c r="E14" s="467">
        <f>C14+D14</f>
        <v>0</v>
      </c>
      <c r="F14" s="370"/>
      <c r="G14" s="358"/>
      <c r="H14" s="698" t="s">
        <v>432</v>
      </c>
      <c r="I14" s="699"/>
      <c r="J14" s="482">
        <f t="shared" ref="J14:J31" si="1">D14</f>
        <v>0</v>
      </c>
    </row>
    <row r="15" spans="1:10" s="482" customFormat="1" ht="16.2" x14ac:dyDescent="0.25">
      <c r="A15" s="357"/>
      <c r="B15" s="480" t="s">
        <v>433</v>
      </c>
      <c r="C15" s="458"/>
      <c r="D15" s="458">
        <v>2884899</v>
      </c>
      <c r="E15" s="467">
        <f t="shared" ref="E15:E16" si="2">C15+D15</f>
        <v>2884899</v>
      </c>
      <c r="F15" s="370"/>
      <c r="G15" s="358"/>
      <c r="H15" s="698" t="s">
        <v>434</v>
      </c>
      <c r="I15" s="699"/>
      <c r="J15" s="482">
        <f t="shared" si="1"/>
        <v>2884899</v>
      </c>
    </row>
    <row r="16" spans="1:10" s="482" customFormat="1" ht="16.2" x14ac:dyDescent="0.25">
      <c r="A16" s="357"/>
      <c r="B16" s="480" t="s">
        <v>435</v>
      </c>
      <c r="C16" s="458">
        <v>6143000</v>
      </c>
      <c r="D16" s="458"/>
      <c r="E16" s="467">
        <f t="shared" si="2"/>
        <v>6143000</v>
      </c>
      <c r="F16" s="370"/>
      <c r="G16" s="358"/>
      <c r="H16" s="698" t="s">
        <v>21</v>
      </c>
      <c r="I16" s="699"/>
      <c r="J16" s="482">
        <f t="shared" si="1"/>
        <v>0</v>
      </c>
    </row>
    <row r="17" spans="1:10" s="483" customFormat="1" ht="16.2" hidden="1" x14ac:dyDescent="0.25">
      <c r="A17" s="357"/>
      <c r="B17" s="480" t="s">
        <v>436</v>
      </c>
      <c r="C17" s="458"/>
      <c r="D17" s="458"/>
      <c r="E17" s="467">
        <f>C17+D17</f>
        <v>0</v>
      </c>
      <c r="F17" s="370"/>
      <c r="G17" s="358"/>
      <c r="H17" s="698" t="s">
        <v>437</v>
      </c>
      <c r="I17" s="699"/>
      <c r="J17" s="482">
        <f t="shared" si="1"/>
        <v>0</v>
      </c>
    </row>
    <row r="18" spans="1:10" s="483" customFormat="1" ht="16.2" x14ac:dyDescent="0.25">
      <c r="A18" s="700" t="s">
        <v>438</v>
      </c>
      <c r="B18" s="699"/>
      <c r="C18" s="468">
        <f>SUM(C19:C27)</f>
        <v>6972909</v>
      </c>
      <c r="D18" s="468">
        <f t="shared" ref="D18:E18" si="3">SUM(D19:D27)</f>
        <v>184866</v>
      </c>
      <c r="E18" s="468">
        <f t="shared" si="3"/>
        <v>7157775</v>
      </c>
      <c r="F18" s="371"/>
      <c r="G18" s="700" t="s">
        <v>439</v>
      </c>
      <c r="H18" s="698"/>
      <c r="I18" s="699"/>
      <c r="J18" s="482">
        <f t="shared" si="1"/>
        <v>184866</v>
      </c>
    </row>
    <row r="19" spans="1:10" s="483" customFormat="1" ht="16.2" x14ac:dyDescent="0.25">
      <c r="A19" s="357"/>
      <c r="B19" s="480" t="s">
        <v>440</v>
      </c>
      <c r="C19" s="458">
        <v>6896399</v>
      </c>
      <c r="D19" s="458"/>
      <c r="E19" s="467">
        <f>C19+D19</f>
        <v>6896399</v>
      </c>
      <c r="F19" s="370"/>
      <c r="G19" s="358"/>
      <c r="H19" s="698" t="s">
        <v>441</v>
      </c>
      <c r="I19" s="699"/>
      <c r="J19" s="482">
        <f t="shared" si="1"/>
        <v>0</v>
      </c>
    </row>
    <row r="20" spans="1:10" s="483" customFormat="1" ht="16.2" x14ac:dyDescent="0.25">
      <c r="A20" s="357"/>
      <c r="B20" s="480" t="s">
        <v>442</v>
      </c>
      <c r="C20" s="458">
        <v>76510</v>
      </c>
      <c r="D20" s="458"/>
      <c r="E20" s="467">
        <f>C20+D20</f>
        <v>76510</v>
      </c>
      <c r="F20" s="370"/>
      <c r="G20" s="358"/>
      <c r="H20" s="479" t="s">
        <v>443</v>
      </c>
      <c r="I20" s="480"/>
      <c r="J20" s="482"/>
    </row>
    <row r="21" spans="1:10" s="483" customFormat="1" ht="16.2" hidden="1" x14ac:dyDescent="0.25">
      <c r="A21" s="357"/>
      <c r="B21" s="480" t="s">
        <v>444</v>
      </c>
      <c r="C21" s="458"/>
      <c r="D21" s="458"/>
      <c r="E21" s="467">
        <f t="shared" ref="E21:E31" si="4">C21+D21</f>
        <v>0</v>
      </c>
      <c r="F21" s="370"/>
      <c r="G21" s="358"/>
      <c r="H21" s="479"/>
      <c r="I21" s="480"/>
      <c r="J21" s="482"/>
    </row>
    <row r="22" spans="1:10" s="483" customFormat="1" ht="16.2" hidden="1" x14ac:dyDescent="0.25">
      <c r="A22" s="357"/>
      <c r="B22" s="480" t="s">
        <v>445</v>
      </c>
      <c r="C22" s="458"/>
      <c r="D22" s="458"/>
      <c r="E22" s="467">
        <f t="shared" si="4"/>
        <v>0</v>
      </c>
      <c r="F22" s="370"/>
      <c r="G22" s="358"/>
      <c r="H22" s="479"/>
      <c r="I22" s="480"/>
      <c r="J22" s="482"/>
    </row>
    <row r="23" spans="1:10" s="483" customFormat="1" ht="16.2" hidden="1" x14ac:dyDescent="0.25">
      <c r="A23" s="357"/>
      <c r="B23" s="480" t="s">
        <v>446</v>
      </c>
      <c r="C23" s="458"/>
      <c r="D23" s="458"/>
      <c r="E23" s="467">
        <f t="shared" si="4"/>
        <v>0</v>
      </c>
      <c r="F23" s="370"/>
      <c r="G23" s="358"/>
      <c r="H23" s="479"/>
      <c r="I23" s="480"/>
      <c r="J23" s="482"/>
    </row>
    <row r="24" spans="1:10" s="483" customFormat="1" ht="32.4" hidden="1" x14ac:dyDescent="0.25">
      <c r="A24" s="357"/>
      <c r="B24" s="480" t="s">
        <v>447</v>
      </c>
      <c r="C24" s="458"/>
      <c r="D24" s="458"/>
      <c r="E24" s="467">
        <f t="shared" si="4"/>
        <v>0</v>
      </c>
      <c r="F24" s="370"/>
      <c r="G24" s="358"/>
      <c r="H24" s="479"/>
      <c r="I24" s="480"/>
      <c r="J24" s="482"/>
    </row>
    <row r="25" spans="1:10" s="483" customFormat="1" ht="16.2" hidden="1" x14ac:dyDescent="0.25">
      <c r="A25" s="357"/>
      <c r="B25" s="480"/>
      <c r="C25" s="458"/>
      <c r="D25" s="458"/>
      <c r="E25" s="467">
        <f t="shared" si="4"/>
        <v>0</v>
      </c>
      <c r="F25" s="370"/>
      <c r="G25" s="358"/>
      <c r="H25" s="479" t="s">
        <v>448</v>
      </c>
      <c r="I25" s="480"/>
      <c r="J25" s="482"/>
    </row>
    <row r="26" spans="1:10" s="483" customFormat="1" ht="16.2" x14ac:dyDescent="0.25">
      <c r="A26" s="357"/>
      <c r="B26" s="373"/>
      <c r="C26" s="458"/>
      <c r="D26" s="458">
        <v>184866</v>
      </c>
      <c r="E26" s="467">
        <f t="shared" si="4"/>
        <v>184866</v>
      </c>
      <c r="F26" s="370"/>
      <c r="G26" s="358"/>
      <c r="H26" s="698" t="s">
        <v>449</v>
      </c>
      <c r="I26" s="699"/>
      <c r="J26" s="482">
        <f t="shared" si="1"/>
        <v>184866</v>
      </c>
    </row>
    <row r="27" spans="1:10" s="483" customFormat="1" ht="16.2" hidden="1" x14ac:dyDescent="0.25">
      <c r="A27" s="357"/>
      <c r="B27" s="373" t="s">
        <v>450</v>
      </c>
      <c r="C27" s="458"/>
      <c r="D27" s="458"/>
      <c r="E27" s="467">
        <f t="shared" si="4"/>
        <v>0</v>
      </c>
      <c r="F27" s="370"/>
      <c r="G27" s="358"/>
      <c r="H27" s="479" t="s">
        <v>451</v>
      </c>
      <c r="I27" s="480"/>
      <c r="J27" s="482"/>
    </row>
    <row r="28" spans="1:10" s="483" customFormat="1" ht="16.2" x14ac:dyDescent="0.25">
      <c r="A28" s="690" t="s">
        <v>343</v>
      </c>
      <c r="B28" s="690"/>
      <c r="C28" s="466">
        <f>C13-C18</f>
        <v>-829909</v>
      </c>
      <c r="D28" s="466">
        <f t="shared" ref="D28:E28" si="5">D13-D18</f>
        <v>2700033</v>
      </c>
      <c r="E28" s="466">
        <f t="shared" si="5"/>
        <v>1870124</v>
      </c>
      <c r="F28" s="370"/>
      <c r="G28" s="691" t="s">
        <v>343</v>
      </c>
      <c r="H28" s="692"/>
      <c r="I28" s="693"/>
      <c r="J28" s="482">
        <f t="shared" si="1"/>
        <v>2700033</v>
      </c>
    </row>
    <row r="29" spans="1:10" s="483" customFormat="1" ht="16.2" x14ac:dyDescent="0.25">
      <c r="A29" s="690" t="s">
        <v>26</v>
      </c>
      <c r="B29" s="690"/>
      <c r="C29" s="459">
        <f>[3]對照表!$C$31</f>
        <v>2344442</v>
      </c>
      <c r="D29" s="459">
        <f>[3]對照表!$D$31</f>
        <v>40187239</v>
      </c>
      <c r="E29" s="468">
        <f t="shared" si="4"/>
        <v>42531681</v>
      </c>
      <c r="F29" s="371"/>
      <c r="G29" s="691" t="s">
        <v>341</v>
      </c>
      <c r="H29" s="692"/>
      <c r="I29" s="693"/>
      <c r="J29" s="482">
        <f t="shared" si="1"/>
        <v>40187239</v>
      </c>
    </row>
    <row r="30" spans="1:10" s="483" customFormat="1" ht="16.2" x14ac:dyDescent="0.25">
      <c r="A30" s="690" t="s">
        <v>342</v>
      </c>
      <c r="B30" s="690"/>
      <c r="C30" s="465"/>
      <c r="D30" s="465"/>
      <c r="E30" s="466">
        <f t="shared" si="4"/>
        <v>0</v>
      </c>
      <c r="F30" s="370"/>
      <c r="G30" s="691" t="s">
        <v>342</v>
      </c>
      <c r="H30" s="692"/>
      <c r="I30" s="693"/>
      <c r="J30" s="482">
        <f t="shared" si="1"/>
        <v>0</v>
      </c>
    </row>
    <row r="31" spans="1:10" s="483" customFormat="1" ht="16.2" x14ac:dyDescent="0.25">
      <c r="A31" s="694" t="s">
        <v>28</v>
      </c>
      <c r="B31" s="694"/>
      <c r="C31" s="469">
        <f>C28+C29-C30</f>
        <v>1514533</v>
      </c>
      <c r="D31" s="469">
        <f t="shared" ref="D31" si="6">D28+D29-D30</f>
        <v>42887272</v>
      </c>
      <c r="E31" s="469">
        <f t="shared" si="4"/>
        <v>44401805</v>
      </c>
      <c r="F31" s="372"/>
      <c r="G31" s="695" t="s">
        <v>344</v>
      </c>
      <c r="H31" s="696"/>
      <c r="I31" s="697"/>
      <c r="J31" s="482">
        <f t="shared" si="1"/>
        <v>42887272</v>
      </c>
    </row>
    <row r="32" spans="1:10" s="482" customFormat="1" ht="12.75" hidden="1" customHeight="1" x14ac:dyDescent="0.25">
      <c r="A32" s="483"/>
      <c r="B32" s="483"/>
      <c r="C32" s="483"/>
      <c r="D32" s="483"/>
      <c r="E32" s="483"/>
      <c r="F32" s="483"/>
      <c r="G32" s="483"/>
      <c r="H32" s="483"/>
    </row>
    <row r="33" spans="1:1" s="483" customFormat="1" ht="19.5" customHeight="1" x14ac:dyDescent="0.25">
      <c r="A33" s="364" t="s">
        <v>452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Q23" sqref="Q23"/>
    </sheetView>
  </sheetViews>
  <sheetFormatPr defaultColWidth="9.109375" defaultRowHeight="15" x14ac:dyDescent="0.2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 x14ac:dyDescent="0.25">
      <c r="A1" s="706" t="str">
        <f>封面!$A$4</f>
        <v>彰化縣地方教育發展基金－彰化縣秀水鄉馬興國民小學</v>
      </c>
      <c r="B1" s="707"/>
      <c r="C1" s="707"/>
    </row>
    <row r="2" spans="1:5" ht="25.5" customHeight="1" x14ac:dyDescent="0.25">
      <c r="A2" s="708" t="s">
        <v>75</v>
      </c>
      <c r="B2" s="708"/>
      <c r="C2" s="708"/>
    </row>
    <row r="3" spans="1:5" ht="24" customHeight="1" x14ac:dyDescent="0.25">
      <c r="A3" s="709" t="str">
        <f>封面!$E$10&amp;封面!$H$10&amp;封面!$I$10&amp;封面!$J$10&amp;封面!$K$10&amp;封面!$O$10&amp;"日"</f>
        <v>中華民國111年1月31日</v>
      </c>
      <c r="B3" s="709"/>
      <c r="C3" s="709"/>
    </row>
    <row r="4" spans="1:5" s="25" customFormat="1" ht="23.25" customHeight="1" x14ac:dyDescent="0.25">
      <c r="A4" s="710"/>
      <c r="B4" s="710" t="s">
        <v>76</v>
      </c>
      <c r="C4" s="710"/>
    </row>
    <row r="5" spans="1:5" s="25" customFormat="1" ht="23.25" customHeight="1" x14ac:dyDescent="0.25">
      <c r="A5" s="710"/>
      <c r="B5" s="26" t="s">
        <v>77</v>
      </c>
      <c r="C5" s="24" t="s">
        <v>78</v>
      </c>
    </row>
    <row r="6" spans="1:5" ht="24" customHeight="1" x14ac:dyDescent="0.25">
      <c r="A6" s="27" t="s">
        <v>79</v>
      </c>
      <c r="B6" s="113"/>
      <c r="C6" s="114">
        <f>B7</f>
        <v>1474533</v>
      </c>
    </row>
    <row r="7" spans="1:5" ht="24" customHeight="1" x14ac:dyDescent="0.25">
      <c r="A7" s="225" t="s">
        <v>201</v>
      </c>
      <c r="B7" s="113">
        <f>VLOOKUP("銀行存款-縣庫存款",平衡!$E$13:$H$47,4,0)</f>
        <v>1474533</v>
      </c>
      <c r="C7" s="115"/>
    </row>
    <row r="8" spans="1:5" ht="24" customHeight="1" x14ac:dyDescent="0.25">
      <c r="A8" s="106" t="s">
        <v>157</v>
      </c>
      <c r="B8" s="113"/>
      <c r="C8" s="389">
        <f>SUM(B9:B14)</f>
        <v>0</v>
      </c>
    </row>
    <row r="9" spans="1:5" ht="24" hidden="1" customHeight="1" x14ac:dyDescent="0.25">
      <c r="A9" s="27" t="s">
        <v>80</v>
      </c>
      <c r="B9" s="113"/>
      <c r="C9" s="115"/>
    </row>
    <row r="10" spans="1:5" ht="24" hidden="1" customHeight="1" x14ac:dyDescent="0.25">
      <c r="A10" s="27" t="s">
        <v>81</v>
      </c>
      <c r="B10" s="113"/>
      <c r="C10" s="115"/>
    </row>
    <row r="11" spans="1:5" ht="24" customHeight="1" x14ac:dyDescent="0.25">
      <c r="A11" s="226"/>
      <c r="B11" s="113"/>
      <c r="C11" s="115"/>
    </row>
    <row r="12" spans="1:5" ht="24" customHeight="1" x14ac:dyDescent="0.25">
      <c r="A12" s="226"/>
      <c r="B12" s="113"/>
      <c r="C12" s="115"/>
    </row>
    <row r="13" spans="1:5" ht="24" customHeight="1" x14ac:dyDescent="0.25">
      <c r="A13" s="226"/>
      <c r="B13" s="113"/>
      <c r="C13" s="375"/>
      <c r="D13" s="376"/>
      <c r="E13" s="376"/>
    </row>
    <row r="14" spans="1:5" ht="24" customHeight="1" x14ac:dyDescent="0.25">
      <c r="A14" s="226"/>
      <c r="B14" s="113"/>
      <c r="C14" s="375"/>
      <c r="D14" s="376"/>
      <c r="E14" s="376"/>
    </row>
    <row r="15" spans="1:5" ht="24" customHeight="1" x14ac:dyDescent="0.25">
      <c r="A15" s="27" t="s">
        <v>82</v>
      </c>
      <c r="B15" s="113"/>
      <c r="C15" s="389">
        <f>SUM(B16:B17)</f>
        <v>0</v>
      </c>
      <c r="D15" s="376"/>
      <c r="E15" s="376"/>
    </row>
    <row r="16" spans="1:5" ht="24" customHeight="1" x14ac:dyDescent="0.25">
      <c r="A16" s="286" t="str">
        <f>IF(B16&gt;0,封面!J10+1&amp;"月公庫撥款收入","")</f>
        <v/>
      </c>
      <c r="B16" s="113"/>
      <c r="C16" s="375"/>
      <c r="D16" s="376"/>
      <c r="E16" s="376"/>
    </row>
    <row r="17" spans="1:5" ht="24" customHeight="1" x14ac:dyDescent="0.25">
      <c r="A17" s="225"/>
      <c r="B17" s="113"/>
      <c r="C17" s="375"/>
      <c r="D17" s="376"/>
      <c r="E17" s="376"/>
    </row>
    <row r="18" spans="1:5" ht="24" customHeight="1" x14ac:dyDescent="0.25">
      <c r="A18" s="27" t="s">
        <v>83</v>
      </c>
      <c r="B18" s="113"/>
      <c r="C18" s="389">
        <f>SUM(B19:B20)</f>
        <v>0</v>
      </c>
      <c r="D18" s="376"/>
      <c r="E18" s="376"/>
    </row>
    <row r="19" spans="1:5" ht="24" customHeight="1" x14ac:dyDescent="0.25">
      <c r="A19" s="226"/>
      <c r="B19" s="113"/>
      <c r="C19" s="375"/>
      <c r="D19" s="376"/>
      <c r="E19" s="376"/>
    </row>
    <row r="20" spans="1:5" ht="24" customHeight="1" x14ac:dyDescent="0.25">
      <c r="A20" s="225"/>
      <c r="B20" s="113"/>
      <c r="C20" s="375"/>
      <c r="D20" s="376"/>
      <c r="E20" s="376"/>
    </row>
    <row r="21" spans="1:5" ht="24" customHeight="1" x14ac:dyDescent="0.25">
      <c r="A21" s="27" t="s">
        <v>84</v>
      </c>
      <c r="B21" s="113"/>
      <c r="C21" s="389">
        <f>SUM(B22:B23)</f>
        <v>0</v>
      </c>
      <c r="D21" s="376"/>
      <c r="E21" s="376"/>
    </row>
    <row r="22" spans="1:5" ht="24" customHeight="1" x14ac:dyDescent="0.25">
      <c r="A22" s="225"/>
      <c r="B22" s="113"/>
      <c r="C22" s="375"/>
      <c r="D22" s="376"/>
      <c r="E22" s="376"/>
    </row>
    <row r="23" spans="1:5" ht="24" customHeight="1" x14ac:dyDescent="0.25">
      <c r="A23" s="225"/>
      <c r="B23" s="113"/>
      <c r="C23" s="115"/>
    </row>
    <row r="24" spans="1:5" ht="24" customHeight="1" x14ac:dyDescent="0.25">
      <c r="A24" s="27" t="s">
        <v>188</v>
      </c>
      <c r="B24" s="113"/>
      <c r="C24" s="114">
        <f>C6+C8+C15-C18-C21</f>
        <v>1474533</v>
      </c>
      <c r="D24" s="23">
        <f>VLOOKUP(1,縣庫對帳!$A$4:$L$100,12)</f>
        <v>1474533</v>
      </c>
      <c r="E24" s="23">
        <f>C24-D24</f>
        <v>0</v>
      </c>
    </row>
    <row r="25" spans="1:5" ht="24" customHeight="1" x14ac:dyDescent="0.25">
      <c r="A25" s="225"/>
      <c r="B25" s="113"/>
      <c r="C25" s="115"/>
    </row>
    <row r="27" spans="1:5" x14ac:dyDescent="0.25">
      <c r="A27" s="705"/>
      <c r="B27" s="705"/>
      <c r="C27" s="705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tabSelected="1" view="pageBreakPreview" zoomScale="80" zoomScaleSheetLayoutView="80" workbookViewId="0">
      <pane xSplit="2" ySplit="3" topLeftCell="C4" activePane="bottomRight" state="frozen"/>
      <selection activeCell="Q23" sqref="Q23"/>
      <selection pane="topRight" activeCell="Q23" sqref="Q23"/>
      <selection pane="bottomLeft" activeCell="Q23" sqref="Q23"/>
      <selection pane="bottomRight" activeCell="N4" sqref="N4"/>
    </sheetView>
  </sheetViews>
  <sheetFormatPr defaultColWidth="9.109375" defaultRowHeight="16.2" x14ac:dyDescent="0.3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 x14ac:dyDescent="0.45">
      <c r="A1" s="165"/>
      <c r="B1" s="711" t="s">
        <v>85</v>
      </c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 x14ac:dyDescent="0.45">
      <c r="A2" s="165"/>
      <c r="B2" s="712" t="str">
        <f>封面!$E$10&amp;封面!$H$10&amp;封面!$I$10&amp;封面!$J$10&amp;封面!$K$10&amp;封面!L10</f>
        <v>中華民國111年1月份</v>
      </c>
      <c r="C2" s="712"/>
      <c r="D2" s="712"/>
      <c r="E2" s="712"/>
      <c r="F2" s="712"/>
      <c r="G2" s="712"/>
      <c r="H2" s="712"/>
      <c r="I2" s="712"/>
      <c r="J2" s="712"/>
      <c r="K2" s="712"/>
      <c r="L2" s="712"/>
      <c r="M2" s="154"/>
      <c r="N2" s="167" t="s">
        <v>163</v>
      </c>
      <c r="O2" s="167"/>
      <c r="P2" s="167" t="s">
        <v>162</v>
      </c>
      <c r="Q2" s="57"/>
      <c r="R2" s="57"/>
      <c r="S2" s="57"/>
      <c r="T2" s="57"/>
      <c r="U2" s="57"/>
      <c r="V2" s="57"/>
    </row>
    <row r="3" spans="1:22" s="72" customFormat="1" x14ac:dyDescent="0.25">
      <c r="B3" s="187" t="s">
        <v>176</v>
      </c>
      <c r="C3" s="187" t="s">
        <v>177</v>
      </c>
      <c r="D3" s="187" t="s">
        <v>178</v>
      </c>
      <c r="E3" s="188" t="s">
        <v>179</v>
      </c>
      <c r="F3" s="188" t="s">
        <v>86</v>
      </c>
      <c r="G3" s="189" t="s">
        <v>180</v>
      </c>
      <c r="H3" s="190" t="s">
        <v>181</v>
      </c>
      <c r="I3" s="190" t="s">
        <v>4</v>
      </c>
      <c r="J3" s="190" t="s">
        <v>182</v>
      </c>
      <c r="K3" s="190" t="s">
        <v>183</v>
      </c>
      <c r="L3" s="190" t="s">
        <v>87</v>
      </c>
      <c r="M3" s="70"/>
      <c r="N3" s="201">
        <f>VLOOKUP(1,$A$4:$L$98,10,0)-N4+N5-P9</f>
        <v>6143000</v>
      </c>
      <c r="O3" s="201"/>
      <c r="P3" s="201">
        <f>VLOOKUP(1,$A$4:$L$98,11,0)-P4+P5-P6+P7-P8-P9</f>
        <v>6972909</v>
      </c>
      <c r="Q3" s="71"/>
    </row>
    <row r="4" spans="1:22" s="53" customFormat="1" x14ac:dyDescent="0.3">
      <c r="A4" s="69"/>
      <c r="B4" s="191" t="s">
        <v>574</v>
      </c>
      <c r="C4" s="192" t="s">
        <v>575</v>
      </c>
      <c r="D4" s="192" t="s">
        <v>576</v>
      </c>
      <c r="E4" s="192" t="s">
        <v>576</v>
      </c>
      <c r="F4" s="192" t="s">
        <v>576</v>
      </c>
      <c r="G4" s="192" t="s">
        <v>576</v>
      </c>
      <c r="H4" s="192" t="s">
        <v>577</v>
      </c>
      <c r="I4" s="193" t="s">
        <v>576</v>
      </c>
      <c r="J4" s="193">
        <v>2344442</v>
      </c>
      <c r="K4" s="193">
        <v>0</v>
      </c>
      <c r="L4" s="193">
        <v>2344442</v>
      </c>
      <c r="M4" s="224" t="s">
        <v>190</v>
      </c>
      <c r="N4" s="202">
        <f>L4</f>
        <v>2344442</v>
      </c>
      <c r="O4" s="203" t="s">
        <v>191</v>
      </c>
      <c r="P4" s="204">
        <f>VLOOKUP("零用及週轉金",平衡!$D$13:$H$48,5,0)</f>
        <v>40000</v>
      </c>
      <c r="Q4" s="30"/>
    </row>
    <row r="5" spans="1:22" s="53" customFormat="1" x14ac:dyDescent="0.3">
      <c r="A5" s="69"/>
      <c r="B5" s="191" t="s">
        <v>574</v>
      </c>
      <c r="C5" s="192" t="s">
        <v>575</v>
      </c>
      <c r="D5" s="192" t="s">
        <v>578</v>
      </c>
      <c r="E5" s="192" t="s">
        <v>579</v>
      </c>
      <c r="F5" s="192" t="s">
        <v>580</v>
      </c>
      <c r="G5" s="192" t="s">
        <v>576</v>
      </c>
      <c r="H5" s="192" t="s">
        <v>581</v>
      </c>
      <c r="I5" s="193">
        <v>1818885</v>
      </c>
      <c r="J5" s="193">
        <v>2344442</v>
      </c>
      <c r="K5" s="193">
        <v>1818885</v>
      </c>
      <c r="L5" s="193">
        <v>525557</v>
      </c>
      <c r="M5" s="203" t="s">
        <v>192</v>
      </c>
      <c r="N5" s="204">
        <f>-庫款差額!C15+庫款差額!C18</f>
        <v>0</v>
      </c>
      <c r="O5" s="203" t="s">
        <v>192</v>
      </c>
      <c r="P5" s="204">
        <f>庫款差額!C8-庫款差額!C21</f>
        <v>0</v>
      </c>
      <c r="Q5" s="30"/>
    </row>
    <row r="6" spans="1:22" s="53" customFormat="1" ht="23.4" x14ac:dyDescent="0.3">
      <c r="A6" s="69"/>
      <c r="B6" s="191" t="s">
        <v>574</v>
      </c>
      <c r="C6" s="192" t="s">
        <v>575</v>
      </c>
      <c r="D6" s="192" t="s">
        <v>578</v>
      </c>
      <c r="E6" s="191" t="s">
        <v>582</v>
      </c>
      <c r="F6" s="191" t="s">
        <v>583</v>
      </c>
      <c r="G6" s="192" t="s">
        <v>576</v>
      </c>
      <c r="H6" s="192" t="s">
        <v>581</v>
      </c>
      <c r="I6" s="193">
        <v>233696</v>
      </c>
      <c r="J6" s="193">
        <v>2344442</v>
      </c>
      <c r="K6" s="193">
        <v>2052581</v>
      </c>
      <c r="L6" s="193">
        <v>291861</v>
      </c>
      <c r="M6" s="118"/>
      <c r="N6" s="205"/>
      <c r="O6" s="206" t="s">
        <v>197</v>
      </c>
      <c r="P6" s="204"/>
      <c r="Q6" s="30"/>
    </row>
    <row r="7" spans="1:22" s="53" customFormat="1" ht="23.4" x14ac:dyDescent="0.3">
      <c r="A7" s="69"/>
      <c r="B7" s="191" t="s">
        <v>574</v>
      </c>
      <c r="C7" s="192" t="s">
        <v>575</v>
      </c>
      <c r="D7" s="192" t="s">
        <v>578</v>
      </c>
      <c r="E7" s="191" t="s">
        <v>584</v>
      </c>
      <c r="F7" s="191" t="s">
        <v>585</v>
      </c>
      <c r="G7" s="192" t="s">
        <v>576</v>
      </c>
      <c r="H7" s="192" t="s">
        <v>581</v>
      </c>
      <c r="I7" s="193">
        <v>40000</v>
      </c>
      <c r="J7" s="193">
        <v>2344442</v>
      </c>
      <c r="K7" s="193">
        <v>2092581</v>
      </c>
      <c r="L7" s="193">
        <v>251861</v>
      </c>
      <c r="M7" s="118"/>
      <c r="N7" s="205"/>
      <c r="O7" s="206" t="s">
        <v>198</v>
      </c>
      <c r="P7" s="204">
        <f>IF(Q7=0,0,VLOOKUP("應付費用",平衡!$N$13:$U$47,4,0))</f>
        <v>0</v>
      </c>
      <c r="Q7" s="30"/>
    </row>
    <row r="8" spans="1:22" s="53" customFormat="1" ht="27.6" x14ac:dyDescent="0.3">
      <c r="A8" s="69"/>
      <c r="B8" s="191" t="s">
        <v>574</v>
      </c>
      <c r="C8" s="192" t="s">
        <v>575</v>
      </c>
      <c r="D8" s="192" t="s">
        <v>586</v>
      </c>
      <c r="E8" s="191" t="s">
        <v>587</v>
      </c>
      <c r="F8" s="191" t="s">
        <v>576</v>
      </c>
      <c r="G8" s="192">
        <v>6143000</v>
      </c>
      <c r="H8" s="192" t="s">
        <v>588</v>
      </c>
      <c r="I8" s="193" t="s">
        <v>576</v>
      </c>
      <c r="J8" s="193">
        <v>8487442</v>
      </c>
      <c r="K8" s="193">
        <v>2092581</v>
      </c>
      <c r="L8" s="193">
        <v>6394861</v>
      </c>
      <c r="M8" s="118"/>
      <c r="N8" s="205"/>
      <c r="O8" s="204" t="s">
        <v>193</v>
      </c>
      <c r="P8" s="204"/>
      <c r="Q8" s="30"/>
    </row>
    <row r="9" spans="1:22" s="53" customFormat="1" x14ac:dyDescent="0.3">
      <c r="A9" s="69"/>
      <c r="B9" s="191" t="s">
        <v>574</v>
      </c>
      <c r="C9" s="192" t="s">
        <v>575</v>
      </c>
      <c r="D9" s="192" t="s">
        <v>589</v>
      </c>
      <c r="E9" s="191" t="s">
        <v>590</v>
      </c>
      <c r="F9" s="191" t="s">
        <v>591</v>
      </c>
      <c r="G9" s="192" t="s">
        <v>576</v>
      </c>
      <c r="H9" s="192" t="s">
        <v>581</v>
      </c>
      <c r="I9" s="193">
        <v>14500</v>
      </c>
      <c r="J9" s="193">
        <v>8487442</v>
      </c>
      <c r="K9" s="193">
        <v>2107081</v>
      </c>
      <c r="L9" s="193">
        <v>6380361</v>
      </c>
      <c r="M9" s="118"/>
      <c r="N9" s="30"/>
      <c r="O9" s="204" t="s">
        <v>194</v>
      </c>
      <c r="P9" s="204"/>
      <c r="Q9" s="30"/>
    </row>
    <row r="10" spans="1:22" s="53" customFormat="1" x14ac:dyDescent="0.3">
      <c r="A10" s="69"/>
      <c r="B10" s="191" t="s">
        <v>574</v>
      </c>
      <c r="C10" s="192" t="s">
        <v>575</v>
      </c>
      <c r="D10" s="192" t="s">
        <v>592</v>
      </c>
      <c r="E10" s="191" t="s">
        <v>593</v>
      </c>
      <c r="F10" s="191" t="s">
        <v>594</v>
      </c>
      <c r="G10" s="192" t="s">
        <v>576</v>
      </c>
      <c r="H10" s="192" t="s">
        <v>581</v>
      </c>
      <c r="I10" s="193">
        <v>36760</v>
      </c>
      <c r="J10" s="193">
        <v>8487442</v>
      </c>
      <c r="K10" s="193">
        <v>2143841</v>
      </c>
      <c r="L10" s="193">
        <v>6343601</v>
      </c>
      <c r="M10" s="118"/>
      <c r="N10" s="30"/>
      <c r="O10" s="30"/>
      <c r="P10" s="30"/>
      <c r="Q10" s="30"/>
    </row>
    <row r="11" spans="1:22" s="53" customFormat="1" x14ac:dyDescent="0.3">
      <c r="A11" s="69"/>
      <c r="B11" s="191" t="s">
        <v>574</v>
      </c>
      <c r="C11" s="192" t="s">
        <v>575</v>
      </c>
      <c r="D11" s="192" t="s">
        <v>592</v>
      </c>
      <c r="E11" s="191" t="s">
        <v>595</v>
      </c>
      <c r="F11" s="191" t="s">
        <v>596</v>
      </c>
      <c r="G11" s="192" t="s">
        <v>576</v>
      </c>
      <c r="H11" s="192" t="s">
        <v>581</v>
      </c>
      <c r="I11" s="193">
        <v>2645797</v>
      </c>
      <c r="J11" s="193">
        <v>8487442</v>
      </c>
      <c r="K11" s="193">
        <v>4789638</v>
      </c>
      <c r="L11" s="193">
        <v>3697804</v>
      </c>
      <c r="M11" s="118"/>
      <c r="N11" s="30"/>
      <c r="O11" s="30"/>
      <c r="P11" s="30"/>
      <c r="Q11" s="30"/>
    </row>
    <row r="12" spans="1:22" s="53" customFormat="1" x14ac:dyDescent="0.3">
      <c r="A12" s="69"/>
      <c r="B12" s="191" t="s">
        <v>574</v>
      </c>
      <c r="C12" s="192" t="s">
        <v>575</v>
      </c>
      <c r="D12" s="192" t="s">
        <v>597</v>
      </c>
      <c r="E12" s="191" t="s">
        <v>598</v>
      </c>
      <c r="F12" s="191" t="s">
        <v>599</v>
      </c>
      <c r="G12" s="192" t="s">
        <v>576</v>
      </c>
      <c r="H12" s="192" t="s">
        <v>581</v>
      </c>
      <c r="I12" s="193">
        <v>81650</v>
      </c>
      <c r="J12" s="193">
        <v>8487442</v>
      </c>
      <c r="K12" s="193">
        <v>4871288</v>
      </c>
      <c r="L12" s="193">
        <v>3616154</v>
      </c>
      <c r="M12" s="118"/>
      <c r="N12" s="30"/>
      <c r="O12" s="30"/>
      <c r="P12" s="30"/>
      <c r="Q12" s="30"/>
    </row>
    <row r="13" spans="1:22" s="53" customFormat="1" x14ac:dyDescent="0.3">
      <c r="A13" s="69"/>
      <c r="B13" s="191" t="s">
        <v>574</v>
      </c>
      <c r="C13" s="374" t="s">
        <v>575</v>
      </c>
      <c r="D13" s="374" t="s">
        <v>600</v>
      </c>
      <c r="E13" s="374" t="s">
        <v>601</v>
      </c>
      <c r="F13" s="191" t="s">
        <v>602</v>
      </c>
      <c r="G13" s="192" t="s">
        <v>576</v>
      </c>
      <c r="H13" s="192" t="s">
        <v>581</v>
      </c>
      <c r="I13" s="193">
        <v>63790</v>
      </c>
      <c r="J13" s="193">
        <v>8487442</v>
      </c>
      <c r="K13" s="193">
        <v>4935078</v>
      </c>
      <c r="L13" s="193">
        <v>3552364</v>
      </c>
      <c r="M13" s="118"/>
      <c r="N13" s="30"/>
      <c r="O13" s="30"/>
      <c r="P13" s="30"/>
      <c r="Q13" s="30"/>
    </row>
    <row r="14" spans="1:22" s="53" customFormat="1" x14ac:dyDescent="0.3">
      <c r="A14" s="69"/>
      <c r="B14" s="191" t="s">
        <v>574</v>
      </c>
      <c r="C14" s="374" t="s">
        <v>575</v>
      </c>
      <c r="D14" s="374" t="s">
        <v>603</v>
      </c>
      <c r="E14" s="374" t="s">
        <v>604</v>
      </c>
      <c r="F14" s="191" t="s">
        <v>605</v>
      </c>
      <c r="G14" s="192" t="s">
        <v>576</v>
      </c>
      <c r="H14" s="192" t="s">
        <v>581</v>
      </c>
      <c r="I14" s="193">
        <v>233696</v>
      </c>
      <c r="J14" s="193">
        <v>8487442</v>
      </c>
      <c r="K14" s="193">
        <v>5168774</v>
      </c>
      <c r="L14" s="193">
        <v>3318668</v>
      </c>
      <c r="M14" s="118"/>
      <c r="N14" s="30"/>
      <c r="O14" s="30"/>
      <c r="P14" s="30"/>
      <c r="Q14" s="30"/>
    </row>
    <row r="15" spans="1:22" s="53" customFormat="1" x14ac:dyDescent="0.3">
      <c r="A15" s="69"/>
      <c r="B15" s="191" t="s">
        <v>574</v>
      </c>
      <c r="C15" s="374" t="s">
        <v>575</v>
      </c>
      <c r="D15" s="374" t="s">
        <v>603</v>
      </c>
      <c r="E15" s="374" t="s">
        <v>606</v>
      </c>
      <c r="F15" s="191" t="s">
        <v>607</v>
      </c>
      <c r="G15" s="192" t="s">
        <v>576</v>
      </c>
      <c r="H15" s="192" t="s">
        <v>581</v>
      </c>
      <c r="I15" s="193">
        <v>1818885</v>
      </c>
      <c r="J15" s="193">
        <v>8487442</v>
      </c>
      <c r="K15" s="193">
        <v>6987659</v>
      </c>
      <c r="L15" s="193">
        <v>1499783</v>
      </c>
      <c r="M15" s="118"/>
      <c r="N15" s="30"/>
      <c r="O15" s="30"/>
      <c r="P15" s="30"/>
      <c r="Q15" s="30"/>
    </row>
    <row r="16" spans="1:22" s="53" customFormat="1" x14ac:dyDescent="0.3">
      <c r="A16" s="69">
        <v>1</v>
      </c>
      <c r="B16" s="191" t="s">
        <v>574</v>
      </c>
      <c r="C16" s="374" t="s">
        <v>575</v>
      </c>
      <c r="D16" s="374" t="s">
        <v>603</v>
      </c>
      <c r="E16" s="374" t="s">
        <v>608</v>
      </c>
      <c r="F16" s="191" t="s">
        <v>609</v>
      </c>
      <c r="G16" s="192" t="s">
        <v>576</v>
      </c>
      <c r="H16" s="192" t="s">
        <v>581</v>
      </c>
      <c r="I16" s="193">
        <v>25250</v>
      </c>
      <c r="J16" s="193">
        <v>8487442</v>
      </c>
      <c r="K16" s="193">
        <v>7012909</v>
      </c>
      <c r="L16" s="193">
        <v>1474533</v>
      </c>
      <c r="M16" s="118"/>
      <c r="N16" s="30"/>
      <c r="O16" s="30"/>
      <c r="P16" s="30"/>
      <c r="Q16" s="30"/>
    </row>
    <row r="17" spans="1:19" s="53" customFormat="1" x14ac:dyDescent="0.3">
      <c r="A17" s="69"/>
      <c r="B17" s="194" t="s">
        <v>576</v>
      </c>
      <c r="C17" s="387" t="s">
        <v>610</v>
      </c>
      <c r="D17" s="387" t="s">
        <v>576</v>
      </c>
      <c r="E17" s="387" t="s">
        <v>576</v>
      </c>
      <c r="F17" s="194" t="s">
        <v>576</v>
      </c>
      <c r="G17" s="195">
        <v>6143000</v>
      </c>
      <c r="H17" s="195" t="s">
        <v>576</v>
      </c>
      <c r="I17" s="195">
        <v>7012909</v>
      </c>
      <c r="J17" s="195" t="s">
        <v>576</v>
      </c>
      <c r="K17" s="195" t="s">
        <v>576</v>
      </c>
      <c r="L17" s="195" t="s">
        <v>576</v>
      </c>
      <c r="M17" s="118"/>
      <c r="N17" s="30"/>
      <c r="O17" s="30"/>
      <c r="P17" s="30"/>
      <c r="Q17" s="30"/>
    </row>
    <row r="18" spans="1:19" s="53" customFormat="1" x14ac:dyDescent="0.3">
      <c r="A18" s="69"/>
      <c r="B18" s="194"/>
      <c r="C18" s="387"/>
      <c r="D18" s="387"/>
      <c r="E18" s="387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 x14ac:dyDescent="0.3">
      <c r="A19" s="218"/>
      <c r="B19" s="194"/>
      <c r="C19" s="387"/>
      <c r="D19" s="387"/>
      <c r="E19" s="387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 x14ac:dyDescent="0.25">
      <c r="A20" s="218"/>
      <c r="B20" s="222"/>
      <c r="C20" s="388"/>
      <c r="D20" s="388"/>
      <c r="E20" s="388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 x14ac:dyDescent="0.25">
      <c r="A21" s="218"/>
      <c r="B21" s="222"/>
      <c r="C21" s="388"/>
      <c r="D21" s="388"/>
      <c r="E21" s="388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 x14ac:dyDescent="0.25">
      <c r="A22" s="218"/>
      <c r="B22" s="222"/>
      <c r="C22" s="388"/>
      <c r="D22" s="388"/>
      <c r="E22" s="38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 x14ac:dyDescent="0.3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 x14ac:dyDescent="0.3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 x14ac:dyDescent="0.3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 x14ac:dyDescent="0.3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 x14ac:dyDescent="0.3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 x14ac:dyDescent="0.3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 x14ac:dyDescent="0.3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 x14ac:dyDescent="0.3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 x14ac:dyDescent="0.3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 x14ac:dyDescent="0.3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 x14ac:dyDescent="0.3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 x14ac:dyDescent="0.3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 x14ac:dyDescent="0.3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 x14ac:dyDescent="0.3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 x14ac:dyDescent="0.3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 x14ac:dyDescent="0.3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 x14ac:dyDescent="0.3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 x14ac:dyDescent="0.3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 x14ac:dyDescent="0.3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 x14ac:dyDescent="0.3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 x14ac:dyDescent="0.3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 x14ac:dyDescent="0.3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 x14ac:dyDescent="0.3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 x14ac:dyDescent="0.3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 x14ac:dyDescent="0.3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 x14ac:dyDescent="0.3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 x14ac:dyDescent="0.3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 x14ac:dyDescent="0.3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 x14ac:dyDescent="0.3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 x14ac:dyDescent="0.3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 x14ac:dyDescent="0.3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 x14ac:dyDescent="0.3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 x14ac:dyDescent="0.3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 x14ac:dyDescent="0.3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 x14ac:dyDescent="0.3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 x14ac:dyDescent="0.3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 x14ac:dyDescent="0.3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 x14ac:dyDescent="0.3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 x14ac:dyDescent="0.3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 x14ac:dyDescent="0.3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 x14ac:dyDescent="0.3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 x14ac:dyDescent="0.3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 x14ac:dyDescent="0.3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 x14ac:dyDescent="0.3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 x14ac:dyDescent="0.3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 x14ac:dyDescent="0.3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 x14ac:dyDescent="0.3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 x14ac:dyDescent="0.3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 x14ac:dyDescent="0.3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 x14ac:dyDescent="0.3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 x14ac:dyDescent="0.3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 x14ac:dyDescent="0.3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 x14ac:dyDescent="0.3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 x14ac:dyDescent="0.3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 x14ac:dyDescent="0.3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 x14ac:dyDescent="0.3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 x14ac:dyDescent="0.3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 x14ac:dyDescent="0.3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 x14ac:dyDescent="0.3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 x14ac:dyDescent="0.3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 x14ac:dyDescent="0.3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 x14ac:dyDescent="0.3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 x14ac:dyDescent="0.3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 x14ac:dyDescent="0.3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 x14ac:dyDescent="0.3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 x14ac:dyDescent="0.3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 x14ac:dyDescent="0.3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 x14ac:dyDescent="0.3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 x14ac:dyDescent="0.3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 x14ac:dyDescent="0.3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 x14ac:dyDescent="0.3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 x14ac:dyDescent="0.3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 x14ac:dyDescent="0.3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 x14ac:dyDescent="0.3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 x14ac:dyDescent="0.3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 x14ac:dyDescent="0.3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 x14ac:dyDescent="0.3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 x14ac:dyDescent="0.3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 x14ac:dyDescent="0.3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 x14ac:dyDescent="0.3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 x14ac:dyDescent="0.3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 x14ac:dyDescent="0.3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 x14ac:dyDescent="0.3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 x14ac:dyDescent="0.3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 x14ac:dyDescent="0.3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 x14ac:dyDescent="0.3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 x14ac:dyDescent="0.3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 x14ac:dyDescent="0.3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 x14ac:dyDescent="0.3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 x14ac:dyDescent="0.3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 x14ac:dyDescent="0.3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 x14ac:dyDescent="0.3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 x14ac:dyDescent="0.3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 x14ac:dyDescent="0.3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 x14ac:dyDescent="0.3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 x14ac:dyDescent="0.3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 x14ac:dyDescent="0.3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 x14ac:dyDescent="0.3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 x14ac:dyDescent="0.3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 x14ac:dyDescent="0.3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 x14ac:dyDescent="0.3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 x14ac:dyDescent="0.3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 x14ac:dyDescent="0.3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 x14ac:dyDescent="0.3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 x14ac:dyDescent="0.3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 x14ac:dyDescent="0.3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 x14ac:dyDescent="0.3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 x14ac:dyDescent="0.3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 x14ac:dyDescent="0.3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 x14ac:dyDescent="0.3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 x14ac:dyDescent="0.3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 x14ac:dyDescent="0.3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 x14ac:dyDescent="0.3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 x14ac:dyDescent="0.3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 x14ac:dyDescent="0.3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 x14ac:dyDescent="0.3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 x14ac:dyDescent="0.3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 x14ac:dyDescent="0.3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 x14ac:dyDescent="0.3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 x14ac:dyDescent="0.3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 x14ac:dyDescent="0.3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 x14ac:dyDescent="0.3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 x14ac:dyDescent="0.3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 x14ac:dyDescent="0.3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 x14ac:dyDescent="0.3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 x14ac:dyDescent="0.3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 x14ac:dyDescent="0.3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 x14ac:dyDescent="0.3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 x14ac:dyDescent="0.3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 x14ac:dyDescent="0.3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 x14ac:dyDescent="0.3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 x14ac:dyDescent="0.3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 x14ac:dyDescent="0.3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 x14ac:dyDescent="0.3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 x14ac:dyDescent="0.3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 x14ac:dyDescent="0.3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 x14ac:dyDescent="0.3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 x14ac:dyDescent="0.3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 x14ac:dyDescent="0.3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 x14ac:dyDescent="0.3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 x14ac:dyDescent="0.3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 x14ac:dyDescent="0.3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 x14ac:dyDescent="0.3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 x14ac:dyDescent="0.3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 x14ac:dyDescent="0.3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 x14ac:dyDescent="0.3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 x14ac:dyDescent="0.3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 x14ac:dyDescent="0.3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 x14ac:dyDescent="0.3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 x14ac:dyDescent="0.3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 x14ac:dyDescent="0.3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 x14ac:dyDescent="0.3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 x14ac:dyDescent="0.3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 x14ac:dyDescent="0.3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 x14ac:dyDescent="0.3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 x14ac:dyDescent="0.3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 x14ac:dyDescent="0.3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 x14ac:dyDescent="0.3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 x14ac:dyDescent="0.3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 x14ac:dyDescent="0.3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 x14ac:dyDescent="0.3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 x14ac:dyDescent="0.3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 x14ac:dyDescent="0.3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 x14ac:dyDescent="0.3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 x14ac:dyDescent="0.3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 x14ac:dyDescent="0.3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 x14ac:dyDescent="0.3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 x14ac:dyDescent="0.3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 x14ac:dyDescent="0.3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 x14ac:dyDescent="0.3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 x14ac:dyDescent="0.3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 x14ac:dyDescent="0.3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 x14ac:dyDescent="0.3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 x14ac:dyDescent="0.3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 x14ac:dyDescent="0.3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 x14ac:dyDescent="0.3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 x14ac:dyDescent="0.3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 x14ac:dyDescent="0.3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 x14ac:dyDescent="0.3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 x14ac:dyDescent="0.3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 x14ac:dyDescent="0.3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 x14ac:dyDescent="0.3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 x14ac:dyDescent="0.3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 x14ac:dyDescent="0.3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 x14ac:dyDescent="0.3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 x14ac:dyDescent="0.3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 x14ac:dyDescent="0.3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 x14ac:dyDescent="0.3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 x14ac:dyDescent="0.3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 x14ac:dyDescent="0.3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 x14ac:dyDescent="0.3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 x14ac:dyDescent="0.3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 x14ac:dyDescent="0.3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 x14ac:dyDescent="0.3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 x14ac:dyDescent="0.3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 x14ac:dyDescent="0.3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 x14ac:dyDescent="0.3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 x14ac:dyDescent="0.3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 x14ac:dyDescent="0.3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 x14ac:dyDescent="0.3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 x14ac:dyDescent="0.3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 x14ac:dyDescent="0.3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 x14ac:dyDescent="0.3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 x14ac:dyDescent="0.3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 x14ac:dyDescent="0.3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 x14ac:dyDescent="0.3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 x14ac:dyDescent="0.3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 x14ac:dyDescent="0.3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 x14ac:dyDescent="0.3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 x14ac:dyDescent="0.3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 x14ac:dyDescent="0.3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 x14ac:dyDescent="0.3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 x14ac:dyDescent="0.3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 x14ac:dyDescent="0.3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 x14ac:dyDescent="0.3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 x14ac:dyDescent="0.3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 x14ac:dyDescent="0.3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 x14ac:dyDescent="0.3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 x14ac:dyDescent="0.3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 x14ac:dyDescent="0.3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 x14ac:dyDescent="0.3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 x14ac:dyDescent="0.3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 x14ac:dyDescent="0.3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 x14ac:dyDescent="0.3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 x14ac:dyDescent="0.3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 x14ac:dyDescent="0.3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 x14ac:dyDescent="0.3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 x14ac:dyDescent="0.3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 x14ac:dyDescent="0.3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 x14ac:dyDescent="0.3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 x14ac:dyDescent="0.3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 x14ac:dyDescent="0.3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 x14ac:dyDescent="0.3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 x14ac:dyDescent="0.3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 x14ac:dyDescent="0.3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 x14ac:dyDescent="0.3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 x14ac:dyDescent="0.3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 x14ac:dyDescent="0.3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 x14ac:dyDescent="0.3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 x14ac:dyDescent="0.3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 x14ac:dyDescent="0.3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 x14ac:dyDescent="0.3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 x14ac:dyDescent="0.3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 x14ac:dyDescent="0.3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 x14ac:dyDescent="0.3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 x14ac:dyDescent="0.3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 x14ac:dyDescent="0.3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 x14ac:dyDescent="0.3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 x14ac:dyDescent="0.3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 x14ac:dyDescent="0.3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 x14ac:dyDescent="0.3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 x14ac:dyDescent="0.3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 x14ac:dyDescent="0.3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 x14ac:dyDescent="0.3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 x14ac:dyDescent="0.3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 x14ac:dyDescent="0.3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 x14ac:dyDescent="0.3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 x14ac:dyDescent="0.3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 x14ac:dyDescent="0.3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 x14ac:dyDescent="0.3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 x14ac:dyDescent="0.3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 x14ac:dyDescent="0.3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 x14ac:dyDescent="0.3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 x14ac:dyDescent="0.3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 x14ac:dyDescent="0.3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 x14ac:dyDescent="0.3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 x14ac:dyDescent="0.3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 x14ac:dyDescent="0.3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 x14ac:dyDescent="0.3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 x14ac:dyDescent="0.3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 x14ac:dyDescent="0.3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 x14ac:dyDescent="0.3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 x14ac:dyDescent="0.3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 x14ac:dyDescent="0.3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 x14ac:dyDescent="0.3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 x14ac:dyDescent="0.3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 x14ac:dyDescent="0.3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 x14ac:dyDescent="0.3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 x14ac:dyDescent="0.3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 x14ac:dyDescent="0.3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 x14ac:dyDescent="0.3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 x14ac:dyDescent="0.3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 x14ac:dyDescent="0.3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 x14ac:dyDescent="0.3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 x14ac:dyDescent="0.3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 x14ac:dyDescent="0.3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 x14ac:dyDescent="0.3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 x14ac:dyDescent="0.3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 x14ac:dyDescent="0.3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 x14ac:dyDescent="0.3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 x14ac:dyDescent="0.3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 x14ac:dyDescent="0.3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 x14ac:dyDescent="0.3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 x14ac:dyDescent="0.3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 x14ac:dyDescent="0.3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 x14ac:dyDescent="0.3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 x14ac:dyDescent="0.3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 x14ac:dyDescent="0.3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 x14ac:dyDescent="0.3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 x14ac:dyDescent="0.3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 x14ac:dyDescent="0.3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 x14ac:dyDescent="0.3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 x14ac:dyDescent="0.3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 x14ac:dyDescent="0.3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 x14ac:dyDescent="0.3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 x14ac:dyDescent="0.3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 x14ac:dyDescent="0.3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 x14ac:dyDescent="0.3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 x14ac:dyDescent="0.3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 x14ac:dyDescent="0.3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 x14ac:dyDescent="0.3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 x14ac:dyDescent="0.3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 x14ac:dyDescent="0.3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 x14ac:dyDescent="0.3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 x14ac:dyDescent="0.3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 x14ac:dyDescent="0.3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 x14ac:dyDescent="0.3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 x14ac:dyDescent="0.3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 x14ac:dyDescent="0.3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 x14ac:dyDescent="0.3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 x14ac:dyDescent="0.3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 x14ac:dyDescent="0.3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 x14ac:dyDescent="0.3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 x14ac:dyDescent="0.3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 x14ac:dyDescent="0.3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 x14ac:dyDescent="0.3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 x14ac:dyDescent="0.3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 x14ac:dyDescent="0.3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 x14ac:dyDescent="0.3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 x14ac:dyDescent="0.3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 x14ac:dyDescent="0.3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 x14ac:dyDescent="0.3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 x14ac:dyDescent="0.3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 x14ac:dyDescent="0.3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 x14ac:dyDescent="0.3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 x14ac:dyDescent="0.3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 x14ac:dyDescent="0.3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 x14ac:dyDescent="0.3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 x14ac:dyDescent="0.3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 x14ac:dyDescent="0.3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 x14ac:dyDescent="0.3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 x14ac:dyDescent="0.3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 x14ac:dyDescent="0.3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 x14ac:dyDescent="0.3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 x14ac:dyDescent="0.3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 x14ac:dyDescent="0.3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 x14ac:dyDescent="0.3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 x14ac:dyDescent="0.3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 x14ac:dyDescent="0.3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 x14ac:dyDescent="0.3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 x14ac:dyDescent="0.3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 x14ac:dyDescent="0.3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 x14ac:dyDescent="0.3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 x14ac:dyDescent="0.3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 x14ac:dyDescent="0.3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 x14ac:dyDescent="0.3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 x14ac:dyDescent="0.3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 x14ac:dyDescent="0.3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 x14ac:dyDescent="0.3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 x14ac:dyDescent="0.3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 x14ac:dyDescent="0.3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 x14ac:dyDescent="0.3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 x14ac:dyDescent="0.3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 x14ac:dyDescent="0.3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 x14ac:dyDescent="0.3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 x14ac:dyDescent="0.3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 x14ac:dyDescent="0.3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 x14ac:dyDescent="0.3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 x14ac:dyDescent="0.3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 x14ac:dyDescent="0.3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 x14ac:dyDescent="0.3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 x14ac:dyDescent="0.3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 x14ac:dyDescent="0.3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 x14ac:dyDescent="0.3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 x14ac:dyDescent="0.3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 x14ac:dyDescent="0.3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 x14ac:dyDescent="0.3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 x14ac:dyDescent="0.3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 x14ac:dyDescent="0.3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 x14ac:dyDescent="0.3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 x14ac:dyDescent="0.3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 x14ac:dyDescent="0.3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 x14ac:dyDescent="0.3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 x14ac:dyDescent="0.3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 x14ac:dyDescent="0.3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 x14ac:dyDescent="0.3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 x14ac:dyDescent="0.3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 x14ac:dyDescent="0.3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 x14ac:dyDescent="0.3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 x14ac:dyDescent="0.3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 x14ac:dyDescent="0.3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 x14ac:dyDescent="0.3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 x14ac:dyDescent="0.3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 x14ac:dyDescent="0.3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 x14ac:dyDescent="0.3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 x14ac:dyDescent="0.3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 x14ac:dyDescent="0.3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 x14ac:dyDescent="0.3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 x14ac:dyDescent="0.3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 x14ac:dyDescent="0.3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 x14ac:dyDescent="0.3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 x14ac:dyDescent="0.3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 x14ac:dyDescent="0.3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 x14ac:dyDescent="0.3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 x14ac:dyDescent="0.3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 x14ac:dyDescent="0.3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 x14ac:dyDescent="0.3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 x14ac:dyDescent="0.3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 x14ac:dyDescent="0.3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 x14ac:dyDescent="0.3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 x14ac:dyDescent="0.3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 x14ac:dyDescent="0.3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 x14ac:dyDescent="0.3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 x14ac:dyDescent="0.3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 x14ac:dyDescent="0.3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 x14ac:dyDescent="0.3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 x14ac:dyDescent="0.3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 x14ac:dyDescent="0.3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 x14ac:dyDescent="0.3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 x14ac:dyDescent="0.3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 x14ac:dyDescent="0.3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 x14ac:dyDescent="0.3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 x14ac:dyDescent="0.3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 x14ac:dyDescent="0.3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 x14ac:dyDescent="0.3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 x14ac:dyDescent="0.3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 x14ac:dyDescent="0.3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 x14ac:dyDescent="0.3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 x14ac:dyDescent="0.3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 x14ac:dyDescent="0.3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 x14ac:dyDescent="0.3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 x14ac:dyDescent="0.3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 x14ac:dyDescent="0.3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 x14ac:dyDescent="0.3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 x14ac:dyDescent="0.3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 x14ac:dyDescent="0.3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 x14ac:dyDescent="0.3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 x14ac:dyDescent="0.3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 x14ac:dyDescent="0.3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 x14ac:dyDescent="0.3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 x14ac:dyDescent="0.3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 x14ac:dyDescent="0.3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 x14ac:dyDescent="0.3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 x14ac:dyDescent="0.3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 x14ac:dyDescent="0.3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 x14ac:dyDescent="0.3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 x14ac:dyDescent="0.3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 x14ac:dyDescent="0.3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 x14ac:dyDescent="0.3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 x14ac:dyDescent="0.3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 x14ac:dyDescent="0.3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 x14ac:dyDescent="0.3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 x14ac:dyDescent="0.3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 x14ac:dyDescent="0.3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 x14ac:dyDescent="0.3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 x14ac:dyDescent="0.3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 x14ac:dyDescent="0.3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 x14ac:dyDescent="0.3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 x14ac:dyDescent="0.3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 x14ac:dyDescent="0.3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 x14ac:dyDescent="0.3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 x14ac:dyDescent="0.3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 x14ac:dyDescent="0.3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 x14ac:dyDescent="0.3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 x14ac:dyDescent="0.3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 x14ac:dyDescent="0.3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 x14ac:dyDescent="0.3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 x14ac:dyDescent="0.3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 x14ac:dyDescent="0.3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 x14ac:dyDescent="0.3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 x14ac:dyDescent="0.3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 x14ac:dyDescent="0.3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 x14ac:dyDescent="0.3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 x14ac:dyDescent="0.3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 x14ac:dyDescent="0.3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 x14ac:dyDescent="0.3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 x14ac:dyDescent="0.3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 x14ac:dyDescent="0.3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 x14ac:dyDescent="0.3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 x14ac:dyDescent="0.3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 x14ac:dyDescent="0.3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 x14ac:dyDescent="0.3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 x14ac:dyDescent="0.3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 x14ac:dyDescent="0.3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 x14ac:dyDescent="0.3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 x14ac:dyDescent="0.3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 x14ac:dyDescent="0.3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 x14ac:dyDescent="0.3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 x14ac:dyDescent="0.3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 x14ac:dyDescent="0.3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 x14ac:dyDescent="0.3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 x14ac:dyDescent="0.3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 x14ac:dyDescent="0.3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 x14ac:dyDescent="0.3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 x14ac:dyDescent="0.3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 x14ac:dyDescent="0.3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 x14ac:dyDescent="0.3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 x14ac:dyDescent="0.3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 x14ac:dyDescent="0.3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 x14ac:dyDescent="0.3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 x14ac:dyDescent="0.3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 x14ac:dyDescent="0.3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 x14ac:dyDescent="0.3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 x14ac:dyDescent="0.3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 x14ac:dyDescent="0.3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 x14ac:dyDescent="0.3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 x14ac:dyDescent="0.3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 x14ac:dyDescent="0.3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 x14ac:dyDescent="0.3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 x14ac:dyDescent="0.3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 x14ac:dyDescent="0.3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 x14ac:dyDescent="0.3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 x14ac:dyDescent="0.3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 x14ac:dyDescent="0.3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 x14ac:dyDescent="0.3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 x14ac:dyDescent="0.3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 x14ac:dyDescent="0.3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 x14ac:dyDescent="0.3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 x14ac:dyDescent="0.3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 x14ac:dyDescent="0.3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 x14ac:dyDescent="0.3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 x14ac:dyDescent="0.3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 x14ac:dyDescent="0.3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 x14ac:dyDescent="0.3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 x14ac:dyDescent="0.3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 x14ac:dyDescent="0.3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 x14ac:dyDescent="0.3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 x14ac:dyDescent="0.3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 x14ac:dyDescent="0.3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 x14ac:dyDescent="0.3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 x14ac:dyDescent="0.3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 x14ac:dyDescent="0.3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 x14ac:dyDescent="0.3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 x14ac:dyDescent="0.3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 x14ac:dyDescent="0.3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 x14ac:dyDescent="0.3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 x14ac:dyDescent="0.3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 x14ac:dyDescent="0.3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 x14ac:dyDescent="0.3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 x14ac:dyDescent="0.3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 x14ac:dyDescent="0.3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 x14ac:dyDescent="0.3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 x14ac:dyDescent="0.3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 x14ac:dyDescent="0.3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 x14ac:dyDescent="0.3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 x14ac:dyDescent="0.3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 x14ac:dyDescent="0.3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 x14ac:dyDescent="0.3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 x14ac:dyDescent="0.3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 x14ac:dyDescent="0.3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 x14ac:dyDescent="0.3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 x14ac:dyDescent="0.3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 x14ac:dyDescent="0.3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 x14ac:dyDescent="0.3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 x14ac:dyDescent="0.3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 x14ac:dyDescent="0.3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 x14ac:dyDescent="0.3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 x14ac:dyDescent="0.3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 x14ac:dyDescent="0.3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 x14ac:dyDescent="0.3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 x14ac:dyDescent="0.3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 x14ac:dyDescent="0.3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 x14ac:dyDescent="0.3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 x14ac:dyDescent="0.3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 x14ac:dyDescent="0.3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 x14ac:dyDescent="0.3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 x14ac:dyDescent="0.3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 x14ac:dyDescent="0.3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 x14ac:dyDescent="0.3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 x14ac:dyDescent="0.3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 x14ac:dyDescent="0.3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 x14ac:dyDescent="0.3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 x14ac:dyDescent="0.3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 x14ac:dyDescent="0.3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 x14ac:dyDescent="0.3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 x14ac:dyDescent="0.3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 x14ac:dyDescent="0.3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 x14ac:dyDescent="0.3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 x14ac:dyDescent="0.3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 x14ac:dyDescent="0.3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 x14ac:dyDescent="0.3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 x14ac:dyDescent="0.3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 x14ac:dyDescent="0.3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 x14ac:dyDescent="0.3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 x14ac:dyDescent="0.3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 x14ac:dyDescent="0.3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 x14ac:dyDescent="0.3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 x14ac:dyDescent="0.3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 x14ac:dyDescent="0.3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 x14ac:dyDescent="0.3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 x14ac:dyDescent="0.3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 x14ac:dyDescent="0.3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 x14ac:dyDescent="0.3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 x14ac:dyDescent="0.3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 x14ac:dyDescent="0.3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 x14ac:dyDescent="0.3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 x14ac:dyDescent="0.3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 x14ac:dyDescent="0.3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 x14ac:dyDescent="0.3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 x14ac:dyDescent="0.3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 x14ac:dyDescent="0.3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 x14ac:dyDescent="0.3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 x14ac:dyDescent="0.3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 x14ac:dyDescent="0.3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 x14ac:dyDescent="0.3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 x14ac:dyDescent="0.3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 x14ac:dyDescent="0.3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 x14ac:dyDescent="0.3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 x14ac:dyDescent="0.3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 x14ac:dyDescent="0.3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 x14ac:dyDescent="0.3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 x14ac:dyDescent="0.3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 x14ac:dyDescent="0.3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 x14ac:dyDescent="0.3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 x14ac:dyDescent="0.3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 x14ac:dyDescent="0.3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 x14ac:dyDescent="0.3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 x14ac:dyDescent="0.3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 x14ac:dyDescent="0.3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 x14ac:dyDescent="0.3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 x14ac:dyDescent="0.3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 x14ac:dyDescent="0.3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 x14ac:dyDescent="0.3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 x14ac:dyDescent="0.3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 x14ac:dyDescent="0.3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 x14ac:dyDescent="0.3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 x14ac:dyDescent="0.3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 x14ac:dyDescent="0.3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 x14ac:dyDescent="0.3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 x14ac:dyDescent="0.3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 x14ac:dyDescent="0.3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 x14ac:dyDescent="0.3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 x14ac:dyDescent="0.3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 x14ac:dyDescent="0.3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 x14ac:dyDescent="0.3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 x14ac:dyDescent="0.3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 x14ac:dyDescent="0.3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 x14ac:dyDescent="0.3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 x14ac:dyDescent="0.3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 x14ac:dyDescent="0.3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 x14ac:dyDescent="0.3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 x14ac:dyDescent="0.3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 x14ac:dyDescent="0.3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 x14ac:dyDescent="0.3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 x14ac:dyDescent="0.3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 x14ac:dyDescent="0.3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 x14ac:dyDescent="0.3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 x14ac:dyDescent="0.3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 x14ac:dyDescent="0.3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 x14ac:dyDescent="0.3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 x14ac:dyDescent="0.3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 x14ac:dyDescent="0.3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 x14ac:dyDescent="0.3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 x14ac:dyDescent="0.3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 x14ac:dyDescent="0.3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 x14ac:dyDescent="0.3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 x14ac:dyDescent="0.3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 x14ac:dyDescent="0.3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 x14ac:dyDescent="0.3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 x14ac:dyDescent="0.3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 x14ac:dyDescent="0.3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 x14ac:dyDescent="0.3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 x14ac:dyDescent="0.3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 x14ac:dyDescent="0.3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 x14ac:dyDescent="0.3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 x14ac:dyDescent="0.3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 x14ac:dyDescent="0.3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 x14ac:dyDescent="0.3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 x14ac:dyDescent="0.3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 x14ac:dyDescent="0.3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 x14ac:dyDescent="0.3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 x14ac:dyDescent="0.3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 x14ac:dyDescent="0.3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 x14ac:dyDescent="0.3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 x14ac:dyDescent="0.3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 x14ac:dyDescent="0.3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 x14ac:dyDescent="0.3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 x14ac:dyDescent="0.3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 x14ac:dyDescent="0.3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 x14ac:dyDescent="0.3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 x14ac:dyDescent="0.3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 x14ac:dyDescent="0.3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 x14ac:dyDescent="0.3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 x14ac:dyDescent="0.3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 x14ac:dyDescent="0.3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 x14ac:dyDescent="0.3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 x14ac:dyDescent="0.3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 x14ac:dyDescent="0.3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 x14ac:dyDescent="0.3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 x14ac:dyDescent="0.3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 x14ac:dyDescent="0.3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 x14ac:dyDescent="0.3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 x14ac:dyDescent="0.3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 x14ac:dyDescent="0.3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 x14ac:dyDescent="0.3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 x14ac:dyDescent="0.3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 x14ac:dyDescent="0.3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 x14ac:dyDescent="0.3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 x14ac:dyDescent="0.3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 x14ac:dyDescent="0.3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 x14ac:dyDescent="0.3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 x14ac:dyDescent="0.3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 x14ac:dyDescent="0.3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 x14ac:dyDescent="0.3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 x14ac:dyDescent="0.3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 x14ac:dyDescent="0.3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 x14ac:dyDescent="0.3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 x14ac:dyDescent="0.3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 x14ac:dyDescent="0.3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 x14ac:dyDescent="0.3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 x14ac:dyDescent="0.3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 x14ac:dyDescent="0.3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 x14ac:dyDescent="0.3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 x14ac:dyDescent="0.3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 x14ac:dyDescent="0.3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 x14ac:dyDescent="0.3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 x14ac:dyDescent="0.3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 x14ac:dyDescent="0.3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 x14ac:dyDescent="0.3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 x14ac:dyDescent="0.3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 x14ac:dyDescent="0.3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 x14ac:dyDescent="0.3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 x14ac:dyDescent="0.3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 x14ac:dyDescent="0.3">
      <c r="M746" s="51"/>
      <c r="N746" s="30"/>
      <c r="O746" s="30"/>
      <c r="P746" s="30"/>
      <c r="Q746" s="30"/>
    </row>
    <row r="747" spans="2:17" x14ac:dyDescent="0.3">
      <c r="N747" s="30"/>
      <c r="O747" s="30"/>
      <c r="P747" s="30"/>
      <c r="Q747" s="30"/>
    </row>
    <row r="748" spans="2:17" x14ac:dyDescent="0.3">
      <c r="N748" s="30"/>
      <c r="O748" s="30"/>
      <c r="P748" s="30"/>
      <c r="Q748" s="30"/>
    </row>
    <row r="749" spans="2:17" x14ac:dyDescent="0.3">
      <c r="N749" s="30"/>
      <c r="O749" s="30"/>
      <c r="P749" s="30"/>
      <c r="Q749" s="30"/>
    </row>
    <row r="750" spans="2:17" x14ac:dyDescent="0.3">
      <c r="N750" s="30"/>
      <c r="O750" s="30"/>
      <c r="P750" s="30"/>
      <c r="Q750" s="30"/>
    </row>
    <row r="751" spans="2:17" x14ac:dyDescent="0.3">
      <c r="N751" s="30"/>
      <c r="O751" s="30"/>
      <c r="P751" s="30"/>
      <c r="Q751" s="30"/>
    </row>
    <row r="752" spans="2:17" x14ac:dyDescent="0.3">
      <c r="N752" s="30"/>
      <c r="O752" s="30"/>
      <c r="P752" s="30"/>
      <c r="Q752" s="30"/>
    </row>
    <row r="753" spans="14:17" x14ac:dyDescent="0.3">
      <c r="N753" s="30"/>
      <c r="O753" s="30"/>
      <c r="P753" s="30"/>
      <c r="Q753" s="30"/>
    </row>
    <row r="754" spans="14:17" x14ac:dyDescent="0.3">
      <c r="N754" s="30"/>
      <c r="O754" s="30"/>
      <c r="P754" s="30"/>
      <c r="Q754" s="30"/>
    </row>
    <row r="755" spans="14:17" x14ac:dyDescent="0.3">
      <c r="N755" s="30"/>
      <c r="O755" s="30"/>
      <c r="P755" s="30"/>
      <c r="Q755" s="30"/>
    </row>
    <row r="756" spans="14:17" x14ac:dyDescent="0.3">
      <c r="N756" s="30"/>
      <c r="O756" s="30"/>
      <c r="P756" s="30"/>
      <c r="Q756" s="30"/>
    </row>
    <row r="757" spans="14:17" x14ac:dyDescent="0.3">
      <c r="N757" s="30"/>
      <c r="O757" s="30"/>
      <c r="P757" s="30"/>
      <c r="Q757" s="30"/>
    </row>
    <row r="758" spans="14:17" x14ac:dyDescent="0.3">
      <c r="N758" s="30"/>
      <c r="O758" s="30"/>
      <c r="P758" s="30"/>
      <c r="Q758" s="30"/>
    </row>
    <row r="759" spans="14:17" x14ac:dyDescent="0.3">
      <c r="N759" s="30"/>
      <c r="O759" s="30"/>
      <c r="P759" s="30"/>
      <c r="Q759" s="30"/>
    </row>
    <row r="760" spans="14:17" x14ac:dyDescent="0.3">
      <c r="N760" s="30"/>
      <c r="O760" s="30"/>
      <c r="P760" s="30"/>
      <c r="Q760" s="30"/>
    </row>
    <row r="761" spans="14:17" x14ac:dyDescent="0.3">
      <c r="N761" s="30"/>
      <c r="O761" s="30"/>
      <c r="P761" s="30"/>
      <c r="Q761" s="30"/>
    </row>
    <row r="762" spans="14:17" x14ac:dyDescent="0.3">
      <c r="N762" s="30"/>
      <c r="O762" s="30"/>
      <c r="P762" s="30"/>
      <c r="Q762" s="30"/>
    </row>
    <row r="763" spans="14:17" x14ac:dyDescent="0.3">
      <c r="N763" s="30"/>
      <c r="O763" s="30"/>
      <c r="P763" s="30"/>
      <c r="Q763" s="30"/>
    </row>
    <row r="764" spans="14:17" x14ac:dyDescent="0.3">
      <c r="N764" s="30"/>
      <c r="O764" s="30"/>
      <c r="P764" s="30"/>
      <c r="Q764" s="30"/>
    </row>
    <row r="765" spans="14:17" x14ac:dyDescent="0.3">
      <c r="N765" s="30"/>
      <c r="O765" s="30"/>
      <c r="P765" s="30"/>
      <c r="Q765" s="30"/>
    </row>
    <row r="766" spans="14:17" x14ac:dyDescent="0.3">
      <c r="N766" s="30"/>
      <c r="O766" s="30"/>
      <c r="P766" s="30"/>
      <c r="Q766" s="30"/>
    </row>
    <row r="767" spans="14:17" x14ac:dyDescent="0.3">
      <c r="N767" s="30"/>
      <c r="O767" s="30"/>
      <c r="P767" s="30"/>
      <c r="Q767" s="30"/>
    </row>
    <row r="768" spans="14:17" x14ac:dyDescent="0.3">
      <c r="N768" s="30"/>
      <c r="O768" s="30"/>
      <c r="P768" s="30"/>
      <c r="Q768" s="30"/>
    </row>
    <row r="769" spans="14:17" x14ac:dyDescent="0.3">
      <c r="N769" s="30"/>
      <c r="O769" s="30"/>
      <c r="P769" s="30"/>
      <c r="Q769" s="30"/>
    </row>
    <row r="770" spans="14:17" x14ac:dyDescent="0.3">
      <c r="N770" s="30"/>
      <c r="O770" s="30"/>
      <c r="P770" s="30"/>
      <c r="Q770" s="30"/>
    </row>
    <row r="771" spans="14:17" x14ac:dyDescent="0.3">
      <c r="N771" s="30"/>
      <c r="O771" s="30"/>
      <c r="P771" s="30"/>
      <c r="Q771" s="30"/>
    </row>
    <row r="772" spans="14:17" x14ac:dyDescent="0.3">
      <c r="N772" s="30"/>
      <c r="O772" s="30"/>
      <c r="P772" s="30"/>
      <c r="Q772" s="30"/>
    </row>
    <row r="773" spans="14:17" x14ac:dyDescent="0.3">
      <c r="N773" s="30"/>
      <c r="O773" s="30"/>
      <c r="P773" s="30"/>
      <c r="Q773" s="30"/>
    </row>
    <row r="774" spans="14:17" x14ac:dyDescent="0.3">
      <c r="N774" s="30"/>
      <c r="O774" s="30"/>
      <c r="P774" s="30"/>
      <c r="Q774" s="30"/>
    </row>
    <row r="775" spans="14:17" x14ac:dyDescent="0.3">
      <c r="N775" s="30"/>
      <c r="O775" s="30"/>
      <c r="P775" s="30"/>
      <c r="Q775" s="30"/>
    </row>
    <row r="776" spans="14:17" x14ac:dyDescent="0.3">
      <c r="N776" s="30"/>
      <c r="O776" s="30"/>
      <c r="P776" s="30"/>
      <c r="Q776" s="30"/>
    </row>
    <row r="777" spans="14:17" x14ac:dyDescent="0.3">
      <c r="N777" s="30"/>
      <c r="O777" s="30"/>
      <c r="P777" s="30"/>
      <c r="Q777" s="30"/>
    </row>
    <row r="778" spans="14:17" x14ac:dyDescent="0.3">
      <c r="N778" s="30"/>
      <c r="O778" s="30"/>
      <c r="P778" s="30"/>
      <c r="Q778" s="30"/>
    </row>
    <row r="779" spans="14:17" x14ac:dyDescent="0.3">
      <c r="N779" s="30"/>
      <c r="O779" s="30"/>
      <c r="P779" s="30"/>
      <c r="Q779" s="30"/>
    </row>
    <row r="780" spans="14:17" x14ac:dyDescent="0.3">
      <c r="N780" s="30"/>
      <c r="O780" s="30"/>
      <c r="P780" s="30"/>
      <c r="Q780" s="30"/>
    </row>
    <row r="781" spans="14:17" x14ac:dyDescent="0.3">
      <c r="N781" s="30"/>
      <c r="O781" s="30"/>
      <c r="P781" s="30"/>
      <c r="Q781" s="30"/>
    </row>
    <row r="782" spans="14:17" x14ac:dyDescent="0.3">
      <c r="N782" s="30"/>
      <c r="O782" s="30"/>
      <c r="P782" s="30"/>
      <c r="Q782" s="30"/>
    </row>
    <row r="783" spans="14:17" x14ac:dyDescent="0.3">
      <c r="N783" s="30"/>
      <c r="O783" s="30"/>
      <c r="P783" s="30"/>
      <c r="Q783" s="30"/>
    </row>
    <row r="784" spans="14:17" x14ac:dyDescent="0.3">
      <c r="N784" s="30"/>
      <c r="O784" s="30"/>
      <c r="P784" s="30"/>
      <c r="Q784" s="30"/>
    </row>
    <row r="785" spans="14:17" x14ac:dyDescent="0.3">
      <c r="N785" s="30"/>
      <c r="O785" s="30"/>
      <c r="P785" s="30"/>
      <c r="Q785" s="30"/>
    </row>
    <row r="786" spans="14:17" x14ac:dyDescent="0.3">
      <c r="N786" s="30"/>
      <c r="O786" s="30"/>
      <c r="P786" s="30"/>
      <c r="Q786" s="30"/>
    </row>
    <row r="787" spans="14:17" x14ac:dyDescent="0.3">
      <c r="N787" s="30"/>
      <c r="O787" s="30"/>
      <c r="P787" s="30"/>
      <c r="Q787" s="30"/>
    </row>
    <row r="788" spans="14:17" x14ac:dyDescent="0.3">
      <c r="N788" s="30"/>
      <c r="O788" s="30"/>
      <c r="P788" s="30"/>
      <c r="Q788" s="30"/>
    </row>
    <row r="789" spans="14:17" x14ac:dyDescent="0.3">
      <c r="N789" s="30"/>
      <c r="O789" s="30"/>
      <c r="P789" s="30"/>
      <c r="Q789" s="30"/>
    </row>
    <row r="790" spans="14:17" x14ac:dyDescent="0.3">
      <c r="N790" s="30"/>
      <c r="O790" s="30"/>
      <c r="P790" s="30"/>
      <c r="Q790" s="30"/>
    </row>
    <row r="791" spans="14:17" x14ac:dyDescent="0.3">
      <c r="N791" s="30"/>
      <c r="O791" s="30"/>
      <c r="P791" s="30"/>
      <c r="Q791" s="30"/>
    </row>
    <row r="792" spans="14:17" x14ac:dyDescent="0.3">
      <c r="N792" s="30"/>
      <c r="O792" s="30"/>
      <c r="P792" s="30"/>
      <c r="Q792" s="30"/>
    </row>
    <row r="793" spans="14:17" x14ac:dyDescent="0.3">
      <c r="N793" s="30"/>
      <c r="O793" s="30"/>
      <c r="P793" s="30"/>
      <c r="Q793" s="30"/>
    </row>
    <row r="794" spans="14:17" x14ac:dyDescent="0.3">
      <c r="N794" s="30"/>
      <c r="O794" s="30"/>
      <c r="P794" s="30"/>
      <c r="Q794" s="30"/>
    </row>
    <row r="795" spans="14:17" x14ac:dyDescent="0.3">
      <c r="N795" s="30"/>
      <c r="O795" s="30"/>
      <c r="P795" s="30"/>
      <c r="Q795" s="30"/>
    </row>
    <row r="796" spans="14:17" x14ac:dyDescent="0.3">
      <c r="N796" s="30"/>
      <c r="O796" s="30"/>
      <c r="P796" s="30"/>
      <c r="Q796" s="30"/>
    </row>
    <row r="797" spans="14:17" x14ac:dyDescent="0.3">
      <c r="N797" s="30"/>
      <c r="O797" s="30"/>
      <c r="P797" s="30"/>
      <c r="Q797" s="30"/>
    </row>
    <row r="798" spans="14:17" x14ac:dyDescent="0.3">
      <c r="N798" s="30"/>
      <c r="O798" s="30"/>
      <c r="P798" s="30"/>
      <c r="Q798" s="30"/>
    </row>
    <row r="799" spans="14:17" x14ac:dyDescent="0.3">
      <c r="N799" s="30"/>
      <c r="O799" s="30"/>
      <c r="P799" s="30"/>
      <c r="Q799" s="30"/>
    </row>
    <row r="800" spans="14:17" x14ac:dyDescent="0.3">
      <c r="N800" s="30"/>
      <c r="O800" s="30"/>
      <c r="P800" s="30"/>
      <c r="Q800" s="30"/>
    </row>
    <row r="801" spans="14:17" x14ac:dyDescent="0.3">
      <c r="N801" s="30"/>
      <c r="O801" s="30"/>
      <c r="P801" s="30"/>
      <c r="Q801" s="30"/>
    </row>
    <row r="802" spans="14:17" x14ac:dyDescent="0.3">
      <c r="N802" s="30"/>
      <c r="O802" s="30"/>
      <c r="P802" s="30"/>
      <c r="Q802" s="30"/>
    </row>
    <row r="803" spans="14:17" x14ac:dyDescent="0.3">
      <c r="N803" s="30"/>
      <c r="O803" s="30"/>
      <c r="P803" s="30"/>
      <c r="Q803" s="30"/>
    </row>
    <row r="804" spans="14:17" x14ac:dyDescent="0.3">
      <c r="N804" s="30"/>
      <c r="O804" s="30"/>
      <c r="P804" s="30"/>
      <c r="Q804" s="30"/>
    </row>
    <row r="805" spans="14:17" x14ac:dyDescent="0.3">
      <c r="N805" s="30"/>
      <c r="O805" s="30"/>
      <c r="P805" s="30"/>
      <c r="Q805" s="30"/>
    </row>
    <row r="806" spans="14:17" x14ac:dyDescent="0.3">
      <c r="N806" s="30"/>
      <c r="O806" s="30"/>
      <c r="P806" s="30"/>
      <c r="Q806" s="30"/>
    </row>
    <row r="807" spans="14:17" x14ac:dyDescent="0.3">
      <c r="N807" s="30"/>
      <c r="O807" s="30"/>
      <c r="P807" s="30"/>
      <c r="Q807" s="30"/>
    </row>
    <row r="808" spans="14:17" x14ac:dyDescent="0.3">
      <c r="N808" s="30"/>
      <c r="O808" s="30"/>
      <c r="P808" s="30"/>
      <c r="Q808" s="30"/>
    </row>
    <row r="809" spans="14:17" x14ac:dyDescent="0.3">
      <c r="N809" s="30"/>
      <c r="O809" s="30"/>
      <c r="P809" s="30"/>
      <c r="Q809" s="30"/>
    </row>
    <row r="810" spans="14:17" x14ac:dyDescent="0.3">
      <c r="N810" s="30"/>
      <c r="O810" s="30"/>
      <c r="P810" s="30"/>
      <c r="Q810" s="30"/>
    </row>
    <row r="811" spans="14:17" x14ac:dyDescent="0.3">
      <c r="N811" s="30"/>
      <c r="O811" s="30"/>
      <c r="P811" s="30"/>
      <c r="Q811" s="30"/>
    </row>
    <row r="812" spans="14:17" x14ac:dyDescent="0.3">
      <c r="N812" s="30"/>
      <c r="O812" s="30"/>
      <c r="P812" s="30"/>
      <c r="Q812" s="30"/>
    </row>
    <row r="813" spans="14:17" x14ac:dyDescent="0.3">
      <c r="N813" s="30"/>
      <c r="O813" s="30"/>
      <c r="P813" s="30"/>
      <c r="Q813" s="30"/>
    </row>
    <row r="814" spans="14:17" x14ac:dyDescent="0.3">
      <c r="N814" s="30"/>
      <c r="O814" s="30"/>
      <c r="P814" s="30"/>
      <c r="Q814" s="30"/>
    </row>
    <row r="815" spans="14:17" x14ac:dyDescent="0.3">
      <c r="N815" s="30"/>
      <c r="O815" s="30"/>
      <c r="P815" s="30"/>
      <c r="Q815" s="30"/>
    </row>
    <row r="816" spans="14:17" x14ac:dyDescent="0.3">
      <c r="N816" s="30"/>
      <c r="O816" s="30"/>
      <c r="P816" s="30"/>
      <c r="Q816" s="30"/>
    </row>
    <row r="817" spans="14:17" x14ac:dyDescent="0.3">
      <c r="N817" s="30"/>
      <c r="O817" s="30"/>
      <c r="P817" s="30"/>
      <c r="Q817" s="30"/>
    </row>
    <row r="818" spans="14:17" x14ac:dyDescent="0.3">
      <c r="N818" s="30"/>
      <c r="O818" s="30"/>
      <c r="P818" s="30"/>
      <c r="Q818" s="30"/>
    </row>
    <row r="819" spans="14:17" x14ac:dyDescent="0.3">
      <c r="N819" s="30"/>
      <c r="O819" s="30"/>
      <c r="P819" s="30"/>
      <c r="Q819" s="30"/>
    </row>
    <row r="820" spans="14:17" x14ac:dyDescent="0.3">
      <c r="N820" s="30"/>
      <c r="O820" s="30"/>
      <c r="P820" s="30"/>
      <c r="Q820" s="30"/>
    </row>
    <row r="821" spans="14:17" x14ac:dyDescent="0.3">
      <c r="N821" s="30"/>
      <c r="O821" s="30"/>
      <c r="P821" s="30"/>
      <c r="Q821" s="30"/>
    </row>
    <row r="822" spans="14:17" x14ac:dyDescent="0.3">
      <c r="N822" s="30"/>
      <c r="O822" s="30"/>
      <c r="P822" s="30"/>
      <c r="Q822" s="30"/>
    </row>
    <row r="823" spans="14:17" x14ac:dyDescent="0.3">
      <c r="N823" s="30"/>
      <c r="O823" s="30"/>
      <c r="P823" s="30"/>
      <c r="Q823" s="30"/>
    </row>
    <row r="824" spans="14:17" x14ac:dyDescent="0.3">
      <c r="N824" s="30"/>
      <c r="O824" s="30"/>
      <c r="P824" s="30"/>
      <c r="Q824" s="30"/>
    </row>
    <row r="825" spans="14:17" x14ac:dyDescent="0.3">
      <c r="N825" s="30"/>
      <c r="O825" s="30"/>
      <c r="P825" s="30"/>
      <c r="Q825" s="30"/>
    </row>
    <row r="826" spans="14:17" x14ac:dyDescent="0.3">
      <c r="N826" s="30"/>
      <c r="O826" s="30"/>
      <c r="P826" s="30"/>
      <c r="Q826" s="30"/>
    </row>
    <row r="827" spans="14:17" x14ac:dyDescent="0.3">
      <c r="N827" s="30"/>
      <c r="O827" s="30"/>
      <c r="P827" s="30"/>
      <c r="Q827" s="30"/>
    </row>
    <row r="828" spans="14:17" x14ac:dyDescent="0.3">
      <c r="N828" s="30"/>
      <c r="O828" s="30"/>
      <c r="P828" s="30"/>
      <c r="Q828" s="30"/>
    </row>
    <row r="829" spans="14:17" x14ac:dyDescent="0.3">
      <c r="N829" s="30"/>
      <c r="O829" s="30"/>
      <c r="P829" s="30"/>
      <c r="Q829" s="30"/>
    </row>
    <row r="830" spans="14:17" x14ac:dyDescent="0.3">
      <c r="N830" s="30"/>
      <c r="O830" s="30"/>
      <c r="P830" s="30"/>
      <c r="Q830" s="30"/>
    </row>
    <row r="831" spans="14:17" x14ac:dyDescent="0.3">
      <c r="N831" s="30"/>
      <c r="O831" s="30"/>
      <c r="P831" s="30"/>
      <c r="Q831" s="30"/>
    </row>
    <row r="832" spans="14:17" x14ac:dyDescent="0.3">
      <c r="N832" s="30"/>
      <c r="O832" s="30"/>
      <c r="P832" s="30"/>
      <c r="Q832" s="30"/>
    </row>
    <row r="833" spans="14:17" x14ac:dyDescent="0.3">
      <c r="N833" s="30"/>
      <c r="O833" s="30"/>
      <c r="P833" s="30"/>
      <c r="Q833" s="30"/>
    </row>
    <row r="834" spans="14:17" x14ac:dyDescent="0.3">
      <c r="N834" s="30"/>
      <c r="O834" s="30"/>
      <c r="P834" s="30"/>
      <c r="Q834" s="30"/>
    </row>
    <row r="835" spans="14:17" x14ac:dyDescent="0.3">
      <c r="N835" s="30"/>
      <c r="O835" s="30"/>
      <c r="P835" s="30"/>
      <c r="Q835" s="30"/>
    </row>
    <row r="836" spans="14:17" x14ac:dyDescent="0.3">
      <c r="N836" s="30"/>
      <c r="O836" s="30"/>
      <c r="P836" s="30"/>
      <c r="Q836" s="30"/>
    </row>
    <row r="837" spans="14:17" x14ac:dyDescent="0.3">
      <c r="N837" s="30"/>
      <c r="O837" s="30"/>
      <c r="P837" s="30"/>
      <c r="Q837" s="30"/>
    </row>
    <row r="838" spans="14:17" x14ac:dyDescent="0.3">
      <c r="N838" s="30"/>
      <c r="O838" s="30"/>
      <c r="P838" s="30"/>
      <c r="Q838" s="30"/>
    </row>
    <row r="839" spans="14:17" x14ac:dyDescent="0.3">
      <c r="N839" s="30"/>
      <c r="O839" s="30"/>
      <c r="P839" s="30"/>
      <c r="Q839" s="30"/>
    </row>
    <row r="840" spans="14:17" x14ac:dyDescent="0.3">
      <c r="N840" s="30"/>
      <c r="O840" s="30"/>
      <c r="P840" s="30"/>
      <c r="Q840" s="30"/>
    </row>
    <row r="841" spans="14:17" x14ac:dyDescent="0.3">
      <c r="N841" s="30"/>
      <c r="O841" s="30"/>
      <c r="P841" s="30"/>
      <c r="Q841" s="30"/>
    </row>
    <row r="842" spans="14:17" x14ac:dyDescent="0.3">
      <c r="N842" s="30"/>
      <c r="O842" s="30"/>
      <c r="P842" s="30"/>
      <c r="Q842" s="30"/>
    </row>
    <row r="843" spans="14:17" x14ac:dyDescent="0.3">
      <c r="N843" s="30"/>
      <c r="O843" s="30"/>
      <c r="P843" s="30"/>
      <c r="Q843" s="30"/>
    </row>
    <row r="844" spans="14:17" x14ac:dyDescent="0.3">
      <c r="N844" s="30"/>
      <c r="O844" s="30"/>
      <c r="P844" s="30"/>
      <c r="Q844" s="30"/>
    </row>
    <row r="845" spans="14:17" x14ac:dyDescent="0.3">
      <c r="N845" s="30"/>
      <c r="O845" s="30"/>
      <c r="P845" s="30"/>
      <c r="Q845" s="30"/>
    </row>
    <row r="846" spans="14:17" x14ac:dyDescent="0.3">
      <c r="N846" s="30"/>
      <c r="O846" s="30"/>
      <c r="P846" s="30"/>
      <c r="Q846" s="30"/>
    </row>
    <row r="847" spans="14:17" x14ac:dyDescent="0.3">
      <c r="N847" s="30"/>
      <c r="O847" s="30"/>
      <c r="P847" s="30"/>
      <c r="Q847" s="30"/>
    </row>
    <row r="848" spans="14:17" x14ac:dyDescent="0.3">
      <c r="N848" s="30"/>
      <c r="O848" s="30"/>
      <c r="P848" s="30"/>
      <c r="Q848" s="30"/>
    </row>
    <row r="849" spans="14:17" x14ac:dyDescent="0.3">
      <c r="N849" s="30"/>
      <c r="O849" s="30"/>
      <c r="P849" s="30"/>
      <c r="Q849" s="30"/>
    </row>
    <row r="850" spans="14:17" x14ac:dyDescent="0.3">
      <c r="N850" s="30"/>
      <c r="O850" s="30"/>
      <c r="P850" s="30"/>
      <c r="Q850" s="30"/>
    </row>
    <row r="851" spans="14:17" x14ac:dyDescent="0.3">
      <c r="N851" s="30"/>
      <c r="O851" s="30"/>
      <c r="P851" s="30"/>
      <c r="Q851" s="30"/>
    </row>
    <row r="852" spans="14:17" x14ac:dyDescent="0.3">
      <c r="N852" s="30"/>
      <c r="O852" s="30"/>
      <c r="P852" s="30"/>
      <c r="Q852" s="30"/>
    </row>
    <row r="853" spans="14:17" x14ac:dyDescent="0.3">
      <c r="N853" s="30"/>
      <c r="O853" s="30"/>
      <c r="P853" s="30"/>
      <c r="Q853" s="30"/>
    </row>
    <row r="854" spans="14:17" x14ac:dyDescent="0.3">
      <c r="N854" s="30"/>
      <c r="O854" s="30"/>
      <c r="P854" s="30"/>
      <c r="Q854" s="30"/>
    </row>
    <row r="855" spans="14:17" x14ac:dyDescent="0.3">
      <c r="N855" s="30"/>
      <c r="O855" s="30"/>
      <c r="P855" s="30"/>
      <c r="Q855" s="30"/>
    </row>
    <row r="856" spans="14:17" x14ac:dyDescent="0.3">
      <c r="N856" s="30"/>
      <c r="O856" s="30"/>
      <c r="P856" s="30"/>
      <c r="Q856" s="30"/>
    </row>
    <row r="857" spans="14:17" x14ac:dyDescent="0.3">
      <c r="N857" s="30"/>
      <c r="O857" s="30"/>
      <c r="P857" s="30"/>
      <c r="Q857" s="30"/>
    </row>
    <row r="858" spans="14:17" x14ac:dyDescent="0.3">
      <c r="N858" s="30"/>
      <c r="O858" s="30"/>
      <c r="P858" s="30"/>
      <c r="Q858" s="30"/>
    </row>
    <row r="859" spans="14:17" x14ac:dyDescent="0.3">
      <c r="N859" s="30"/>
      <c r="O859" s="30"/>
      <c r="P859" s="30"/>
      <c r="Q859" s="30"/>
    </row>
    <row r="860" spans="14:17" x14ac:dyDescent="0.3">
      <c r="N860" s="30"/>
      <c r="O860" s="30"/>
      <c r="P860" s="30"/>
      <c r="Q860" s="30"/>
    </row>
    <row r="861" spans="14:17" x14ac:dyDescent="0.3">
      <c r="N861" s="30"/>
      <c r="O861" s="30"/>
      <c r="P861" s="30"/>
      <c r="Q861" s="30"/>
    </row>
    <row r="862" spans="14:17" x14ac:dyDescent="0.3">
      <c r="N862" s="30"/>
      <c r="O862" s="30"/>
      <c r="P862" s="30"/>
      <c r="Q862" s="30"/>
    </row>
    <row r="863" spans="14:17" x14ac:dyDescent="0.3">
      <c r="N863" s="30"/>
      <c r="O863" s="30"/>
      <c r="P863" s="30"/>
      <c r="Q863" s="30"/>
    </row>
    <row r="864" spans="14:17" x14ac:dyDescent="0.3">
      <c r="N864" s="30"/>
      <c r="O864" s="30"/>
      <c r="P864" s="30"/>
      <c r="Q864" s="30"/>
    </row>
    <row r="865" spans="14:17" x14ac:dyDescent="0.3">
      <c r="N865" s="30"/>
      <c r="O865" s="30"/>
      <c r="P865" s="30"/>
      <c r="Q865" s="30"/>
    </row>
    <row r="866" spans="14:17" x14ac:dyDescent="0.3">
      <c r="N866" s="30"/>
      <c r="O866" s="30"/>
      <c r="P866" s="30"/>
      <c r="Q866" s="30"/>
    </row>
    <row r="867" spans="14:17" x14ac:dyDescent="0.3">
      <c r="N867" s="30"/>
      <c r="O867" s="30"/>
      <c r="P867" s="30"/>
      <c r="Q867" s="30"/>
    </row>
    <row r="868" spans="14:17" x14ac:dyDescent="0.3">
      <c r="N868" s="30"/>
      <c r="O868" s="30"/>
      <c r="P868" s="30"/>
      <c r="Q868" s="30"/>
    </row>
    <row r="869" spans="14:17" x14ac:dyDescent="0.3">
      <c r="N869" s="30"/>
      <c r="O869" s="30"/>
      <c r="P869" s="30"/>
      <c r="Q869" s="30"/>
    </row>
    <row r="870" spans="14:17" x14ac:dyDescent="0.3">
      <c r="N870" s="30"/>
      <c r="O870" s="30"/>
      <c r="P870" s="30"/>
      <c r="Q870" s="30"/>
    </row>
    <row r="871" spans="14:17" x14ac:dyDescent="0.3">
      <c r="N871" s="30"/>
      <c r="O871" s="30"/>
      <c r="P871" s="30"/>
      <c r="Q871" s="30"/>
    </row>
    <row r="872" spans="14:17" x14ac:dyDescent="0.3">
      <c r="N872" s="30"/>
      <c r="O872" s="30"/>
      <c r="P872" s="30"/>
      <c r="Q872" s="30"/>
    </row>
    <row r="873" spans="14:17" x14ac:dyDescent="0.3">
      <c r="N873" s="30"/>
      <c r="O873" s="30"/>
      <c r="P873" s="30"/>
      <c r="Q873" s="30"/>
    </row>
    <row r="874" spans="14:17" x14ac:dyDescent="0.3">
      <c r="N874" s="30"/>
      <c r="O874" s="30"/>
      <c r="P874" s="30"/>
      <c r="Q874" s="30"/>
    </row>
    <row r="875" spans="14:17" x14ac:dyDescent="0.3">
      <c r="N875" s="30"/>
      <c r="O875" s="30"/>
      <c r="P875" s="30"/>
      <c r="Q875" s="30"/>
    </row>
    <row r="876" spans="14:17" x14ac:dyDescent="0.3">
      <c r="N876" s="30"/>
      <c r="O876" s="30"/>
      <c r="P876" s="30"/>
      <c r="Q876" s="30"/>
    </row>
    <row r="877" spans="14:17" x14ac:dyDescent="0.3">
      <c r="N877" s="30"/>
      <c r="O877" s="30"/>
      <c r="P877" s="30"/>
      <c r="Q877" s="30"/>
    </row>
    <row r="878" spans="14:17" x14ac:dyDescent="0.3">
      <c r="N878" s="30"/>
      <c r="O878" s="30"/>
      <c r="P878" s="30"/>
      <c r="Q878" s="30"/>
    </row>
    <row r="879" spans="14:17" x14ac:dyDescent="0.3">
      <c r="N879" s="30"/>
      <c r="O879" s="30"/>
      <c r="P879" s="30"/>
      <c r="Q879" s="30"/>
    </row>
    <row r="880" spans="14:17" x14ac:dyDescent="0.3">
      <c r="N880" s="30"/>
      <c r="O880" s="30"/>
      <c r="P880" s="30"/>
      <c r="Q880" s="30"/>
    </row>
    <row r="881" spans="14:17" x14ac:dyDescent="0.3">
      <c r="N881" s="30"/>
      <c r="O881" s="30"/>
      <c r="P881" s="30"/>
      <c r="Q881" s="30"/>
    </row>
    <row r="882" spans="14:17" x14ac:dyDescent="0.3">
      <c r="N882" s="30"/>
      <c r="O882" s="30"/>
      <c r="P882" s="30"/>
      <c r="Q882" s="30"/>
    </row>
    <row r="883" spans="14:17" x14ac:dyDescent="0.3">
      <c r="N883" s="30"/>
      <c r="O883" s="30"/>
      <c r="P883" s="30"/>
      <c r="Q883" s="30"/>
    </row>
    <row r="884" spans="14:17" x14ac:dyDescent="0.3">
      <c r="N884" s="30"/>
      <c r="O884" s="30"/>
      <c r="P884" s="30"/>
      <c r="Q884" s="30"/>
    </row>
    <row r="885" spans="14:17" x14ac:dyDescent="0.3">
      <c r="N885" s="30"/>
      <c r="O885" s="30"/>
      <c r="P885" s="30"/>
      <c r="Q885" s="30"/>
    </row>
    <row r="886" spans="14:17" x14ac:dyDescent="0.3">
      <c r="N886" s="30"/>
      <c r="O886" s="30"/>
      <c r="P886" s="30"/>
      <c r="Q886" s="30"/>
    </row>
    <row r="887" spans="14:17" x14ac:dyDescent="0.3">
      <c r="N887" s="30"/>
      <c r="O887" s="30"/>
      <c r="P887" s="30"/>
      <c r="Q887" s="30"/>
    </row>
    <row r="888" spans="14:17" x14ac:dyDescent="0.3">
      <c r="N888" s="30"/>
      <c r="O888" s="30"/>
      <c r="P888" s="30"/>
      <c r="Q888" s="30"/>
    </row>
    <row r="889" spans="14:17" x14ac:dyDescent="0.3">
      <c r="N889" s="30"/>
      <c r="O889" s="30"/>
      <c r="P889" s="30"/>
      <c r="Q889" s="30"/>
    </row>
    <row r="890" spans="14:17" x14ac:dyDescent="0.3">
      <c r="N890" s="30"/>
      <c r="O890" s="30"/>
      <c r="P890" s="30"/>
      <c r="Q890" s="30"/>
    </row>
    <row r="891" spans="14:17" x14ac:dyDescent="0.3">
      <c r="N891" s="30"/>
      <c r="O891" s="30"/>
      <c r="P891" s="30"/>
      <c r="Q891" s="30"/>
    </row>
    <row r="892" spans="14:17" x14ac:dyDescent="0.3">
      <c r="N892" s="30"/>
      <c r="O892" s="30"/>
      <c r="P892" s="30"/>
      <c r="Q892" s="30"/>
    </row>
    <row r="893" spans="14:17" x14ac:dyDescent="0.3">
      <c r="N893" s="30"/>
      <c r="O893" s="30"/>
      <c r="P893" s="30"/>
      <c r="Q893" s="30"/>
    </row>
    <row r="894" spans="14:17" x14ac:dyDescent="0.3">
      <c r="N894" s="30"/>
      <c r="O894" s="30"/>
      <c r="P894" s="30"/>
      <c r="Q894" s="30"/>
    </row>
    <row r="895" spans="14:17" x14ac:dyDescent="0.3">
      <c r="N895" s="30"/>
      <c r="O895" s="30"/>
      <c r="P895" s="30"/>
      <c r="Q895" s="30"/>
    </row>
    <row r="896" spans="14:17" x14ac:dyDescent="0.3">
      <c r="N896" s="30"/>
      <c r="O896" s="30"/>
      <c r="P896" s="30"/>
      <c r="Q896" s="30"/>
    </row>
    <row r="897" spans="14:17" x14ac:dyDescent="0.3">
      <c r="N897" s="30"/>
      <c r="O897" s="30"/>
      <c r="P897" s="30"/>
      <c r="Q897" s="30"/>
    </row>
    <row r="898" spans="14:17" x14ac:dyDescent="0.3">
      <c r="N898" s="30"/>
      <c r="O898" s="30"/>
      <c r="P898" s="30"/>
      <c r="Q898" s="30"/>
    </row>
    <row r="899" spans="14:17" x14ac:dyDescent="0.3">
      <c r="N899" s="30"/>
      <c r="O899" s="30"/>
      <c r="P899" s="30"/>
      <c r="Q899" s="30"/>
    </row>
    <row r="900" spans="14:17" x14ac:dyDescent="0.3">
      <c r="N900" s="30"/>
      <c r="O900" s="30"/>
      <c r="P900" s="30"/>
      <c r="Q900" s="30"/>
    </row>
    <row r="901" spans="14:17" x14ac:dyDescent="0.3">
      <c r="N901" s="30"/>
      <c r="O901" s="30"/>
      <c r="P901" s="30"/>
      <c r="Q901" s="30"/>
    </row>
    <row r="902" spans="14:17" x14ac:dyDescent="0.3">
      <c r="N902" s="30"/>
      <c r="O902" s="30"/>
      <c r="P902" s="30"/>
      <c r="Q902" s="30"/>
    </row>
    <row r="903" spans="14:17" x14ac:dyDescent="0.3">
      <c r="N903" s="30"/>
      <c r="O903" s="30"/>
      <c r="P903" s="30"/>
      <c r="Q903" s="30"/>
    </row>
    <row r="904" spans="14:17" x14ac:dyDescent="0.3">
      <c r="N904" s="30"/>
      <c r="O904" s="30"/>
      <c r="P904" s="30"/>
      <c r="Q904" s="30"/>
    </row>
    <row r="905" spans="14:17" x14ac:dyDescent="0.3">
      <c r="N905" s="30"/>
      <c r="O905" s="30"/>
      <c r="P905" s="30"/>
      <c r="Q905" s="30"/>
    </row>
    <row r="906" spans="14:17" x14ac:dyDescent="0.3">
      <c r="N906" s="30"/>
      <c r="O906" s="30"/>
      <c r="P906" s="30"/>
      <c r="Q906" s="30"/>
    </row>
    <row r="907" spans="14:17" x14ac:dyDescent="0.3">
      <c r="N907" s="30"/>
      <c r="O907" s="30"/>
      <c r="P907" s="30"/>
      <c r="Q907" s="30"/>
    </row>
    <row r="908" spans="14:17" x14ac:dyDescent="0.3">
      <c r="N908" s="30"/>
      <c r="O908" s="30"/>
      <c r="P908" s="30"/>
      <c r="Q908" s="30"/>
    </row>
    <row r="909" spans="14:17" x14ac:dyDescent="0.3">
      <c r="N909" s="30"/>
      <c r="O909" s="30"/>
      <c r="P909" s="30"/>
      <c r="Q909" s="30"/>
    </row>
    <row r="910" spans="14:17" x14ac:dyDescent="0.3">
      <c r="N910" s="30"/>
      <c r="O910" s="30"/>
      <c r="P910" s="30"/>
      <c r="Q910" s="30"/>
    </row>
    <row r="911" spans="14:17" x14ac:dyDescent="0.3">
      <c r="N911" s="30"/>
      <c r="O911" s="30"/>
      <c r="P911" s="30"/>
      <c r="Q911" s="30"/>
    </row>
    <row r="912" spans="14:17" x14ac:dyDescent="0.3">
      <c r="N912" s="30"/>
      <c r="O912" s="30"/>
      <c r="P912" s="30"/>
      <c r="Q912" s="30"/>
    </row>
    <row r="913" spans="14:17" x14ac:dyDescent="0.3">
      <c r="N913" s="30"/>
      <c r="O913" s="30"/>
      <c r="P913" s="30"/>
      <c r="Q913" s="30"/>
    </row>
    <row r="914" spans="14:17" x14ac:dyDescent="0.3">
      <c r="N914" s="30"/>
      <c r="O914" s="30"/>
      <c r="P914" s="30"/>
      <c r="Q914" s="30"/>
    </row>
    <row r="915" spans="14:17" x14ac:dyDescent="0.3">
      <c r="N915" s="30"/>
      <c r="O915" s="30"/>
      <c r="P915" s="30"/>
      <c r="Q915" s="30"/>
    </row>
    <row r="916" spans="14:17" x14ac:dyDescent="0.3">
      <c r="N916" s="30"/>
      <c r="O916" s="30"/>
      <c r="P916" s="30"/>
      <c r="Q916" s="30"/>
    </row>
    <row r="917" spans="14:17" x14ac:dyDescent="0.3">
      <c r="N917" s="30"/>
      <c r="O917" s="30"/>
      <c r="P917" s="30"/>
      <c r="Q917" s="30"/>
    </row>
    <row r="918" spans="14:17" x14ac:dyDescent="0.3">
      <c r="N918" s="30"/>
      <c r="O918" s="30"/>
      <c r="P918" s="30"/>
      <c r="Q918" s="30"/>
    </row>
    <row r="919" spans="14:17" x14ac:dyDescent="0.3">
      <c r="N919" s="30"/>
      <c r="O919" s="30"/>
      <c r="P919" s="30"/>
      <c r="Q919" s="30"/>
    </row>
    <row r="920" spans="14:17" x14ac:dyDescent="0.3">
      <c r="N920" s="30"/>
      <c r="O920" s="30"/>
      <c r="P920" s="30"/>
      <c r="Q920" s="30"/>
    </row>
    <row r="921" spans="14:17" x14ac:dyDescent="0.3">
      <c r="N921" s="30"/>
      <c r="O921" s="30"/>
      <c r="P921" s="30"/>
      <c r="Q921" s="30"/>
    </row>
    <row r="922" spans="14:17" x14ac:dyDescent="0.3">
      <c r="N922" s="30"/>
      <c r="O922" s="30"/>
      <c r="P922" s="30"/>
      <c r="Q922" s="30"/>
    </row>
    <row r="923" spans="14:17" x14ac:dyDescent="0.3">
      <c r="N923" s="30"/>
      <c r="O923" s="30"/>
      <c r="P923" s="30"/>
      <c r="Q923" s="30"/>
    </row>
    <row r="924" spans="14:17" x14ac:dyDescent="0.3">
      <c r="N924" s="30"/>
      <c r="O924" s="30"/>
      <c r="P924" s="30"/>
      <c r="Q924" s="30"/>
    </row>
    <row r="925" spans="14:17" x14ac:dyDescent="0.3">
      <c r="N925" s="30"/>
      <c r="O925" s="30"/>
      <c r="P925" s="30"/>
      <c r="Q925" s="30"/>
    </row>
    <row r="926" spans="14:17" x14ac:dyDescent="0.3">
      <c r="N926" s="30"/>
      <c r="O926" s="30"/>
      <c r="P926" s="30"/>
      <c r="Q926" s="30"/>
    </row>
    <row r="927" spans="14:17" x14ac:dyDescent="0.3">
      <c r="N927" s="30"/>
      <c r="O927" s="30"/>
      <c r="P927" s="30"/>
      <c r="Q927" s="30"/>
    </row>
    <row r="928" spans="14:17" x14ac:dyDescent="0.3">
      <c r="N928" s="30"/>
      <c r="O928" s="30"/>
      <c r="P928" s="30"/>
      <c r="Q928" s="30"/>
    </row>
    <row r="929" spans="14:17" x14ac:dyDescent="0.3">
      <c r="N929" s="30"/>
      <c r="O929" s="30"/>
      <c r="P929" s="30"/>
      <c r="Q929" s="30"/>
    </row>
    <row r="930" spans="14:17" x14ac:dyDescent="0.3">
      <c r="N930" s="30"/>
      <c r="O930" s="30"/>
      <c r="P930" s="30"/>
      <c r="Q930" s="30"/>
    </row>
    <row r="931" spans="14:17" x14ac:dyDescent="0.3">
      <c r="N931" s="30"/>
      <c r="O931" s="30"/>
      <c r="P931" s="30"/>
      <c r="Q931" s="30"/>
    </row>
    <row r="932" spans="14:17" x14ac:dyDescent="0.3">
      <c r="N932" s="30"/>
      <c r="O932" s="30"/>
      <c r="P932" s="30"/>
      <c r="Q932" s="30"/>
    </row>
    <row r="933" spans="14:17" x14ac:dyDescent="0.3">
      <c r="N933" s="30"/>
      <c r="O933" s="30"/>
      <c r="P933" s="30"/>
      <c r="Q933" s="30"/>
    </row>
    <row r="934" spans="14:17" x14ac:dyDescent="0.3">
      <c r="N934" s="30"/>
      <c r="O934" s="30"/>
      <c r="P934" s="30"/>
      <c r="Q934" s="30"/>
    </row>
    <row r="935" spans="14:17" x14ac:dyDescent="0.3">
      <c r="N935" s="30"/>
      <c r="O935" s="30"/>
      <c r="P935" s="30"/>
      <c r="Q935" s="30"/>
    </row>
    <row r="936" spans="14:17" x14ac:dyDescent="0.3">
      <c r="N936" s="30"/>
      <c r="O936" s="30"/>
      <c r="P936" s="30"/>
      <c r="Q936" s="30"/>
    </row>
    <row r="937" spans="14:17" x14ac:dyDescent="0.3">
      <c r="N937" s="30"/>
      <c r="O937" s="30"/>
      <c r="P937" s="30"/>
      <c r="Q937" s="30"/>
    </row>
    <row r="938" spans="14:17" x14ac:dyDescent="0.3">
      <c r="N938" s="30"/>
      <c r="O938" s="30"/>
      <c r="P938" s="30"/>
      <c r="Q938" s="30"/>
    </row>
    <row r="939" spans="14:17" x14ac:dyDescent="0.3">
      <c r="N939" s="30"/>
      <c r="O939" s="30"/>
      <c r="P939" s="30"/>
      <c r="Q939" s="30"/>
    </row>
    <row r="940" spans="14:17" x14ac:dyDescent="0.3">
      <c r="N940" s="30"/>
      <c r="O940" s="30"/>
      <c r="P940" s="30"/>
      <c r="Q940" s="30"/>
    </row>
    <row r="941" spans="14:17" x14ac:dyDescent="0.3">
      <c r="N941" s="30"/>
      <c r="O941" s="30"/>
      <c r="P941" s="30"/>
      <c r="Q941" s="30"/>
    </row>
    <row r="942" spans="14:17" x14ac:dyDescent="0.3">
      <c r="N942" s="30"/>
      <c r="O942" s="30"/>
      <c r="P942" s="30"/>
      <c r="Q942" s="30"/>
    </row>
    <row r="943" spans="14:17" x14ac:dyDescent="0.3">
      <c r="N943" s="30"/>
      <c r="O943" s="30"/>
      <c r="P943" s="30"/>
      <c r="Q943" s="30"/>
    </row>
    <row r="944" spans="14:17" x14ac:dyDescent="0.3">
      <c r="N944" s="30"/>
      <c r="O944" s="30"/>
      <c r="P944" s="30"/>
      <c r="Q944" s="30"/>
    </row>
    <row r="945" spans="14:17" x14ac:dyDescent="0.3">
      <c r="N945" s="30"/>
      <c r="O945" s="30"/>
      <c r="P945" s="30"/>
      <c r="Q945" s="30"/>
    </row>
    <row r="946" spans="14:17" x14ac:dyDescent="0.3">
      <c r="N946" s="30"/>
      <c r="O946" s="30"/>
      <c r="P946" s="30"/>
      <c r="Q946" s="30"/>
    </row>
    <row r="947" spans="14:17" x14ac:dyDescent="0.3">
      <c r="N947" s="30"/>
      <c r="O947" s="30"/>
      <c r="P947" s="30"/>
      <c r="Q947" s="30"/>
    </row>
    <row r="948" spans="14:17" x14ac:dyDescent="0.3">
      <c r="N948" s="30"/>
      <c r="O948" s="30"/>
      <c r="P948" s="30"/>
      <c r="Q948" s="30"/>
    </row>
    <row r="949" spans="14:17" x14ac:dyDescent="0.3">
      <c r="N949" s="30"/>
      <c r="O949" s="30"/>
      <c r="P949" s="30"/>
      <c r="Q949" s="30"/>
    </row>
    <row r="950" spans="14:17" x14ac:dyDescent="0.3">
      <c r="N950" s="30"/>
      <c r="O950" s="30"/>
      <c r="P950" s="30"/>
      <c r="Q950" s="30"/>
    </row>
    <row r="951" spans="14:17" x14ac:dyDescent="0.3">
      <c r="N951" s="30"/>
      <c r="O951" s="30"/>
      <c r="P951" s="30"/>
      <c r="Q951" s="30"/>
    </row>
    <row r="952" spans="14:17" x14ac:dyDescent="0.3">
      <c r="N952" s="30"/>
      <c r="O952" s="30"/>
      <c r="P952" s="30"/>
      <c r="Q952" s="30"/>
    </row>
    <row r="953" spans="14:17" x14ac:dyDescent="0.3">
      <c r="N953" s="30"/>
      <c r="O953" s="30"/>
      <c r="P953" s="30"/>
      <c r="Q953" s="30"/>
    </row>
    <row r="954" spans="14:17" x14ac:dyDescent="0.3">
      <c r="N954" s="30"/>
      <c r="O954" s="30"/>
      <c r="P954" s="30"/>
      <c r="Q954" s="30"/>
    </row>
    <row r="955" spans="14:17" x14ac:dyDescent="0.3">
      <c r="N955" s="30"/>
      <c r="O955" s="30"/>
      <c r="P955" s="30"/>
      <c r="Q955" s="30"/>
    </row>
    <row r="956" spans="14:17" x14ac:dyDescent="0.3">
      <c r="N956" s="30"/>
      <c r="O956" s="30"/>
      <c r="P956" s="30"/>
      <c r="Q956" s="30"/>
    </row>
    <row r="957" spans="14:17" x14ac:dyDescent="0.3">
      <c r="N957" s="30"/>
      <c r="O957" s="30"/>
      <c r="P957" s="30"/>
      <c r="Q957" s="30"/>
    </row>
    <row r="958" spans="14:17" x14ac:dyDescent="0.3">
      <c r="N958" s="30"/>
      <c r="O958" s="30"/>
      <c r="P958" s="30"/>
      <c r="Q958" s="30"/>
    </row>
    <row r="959" spans="14:17" x14ac:dyDescent="0.3">
      <c r="N959" s="30"/>
      <c r="O959" s="30"/>
      <c r="P959" s="30"/>
      <c r="Q959" s="30"/>
    </row>
    <row r="960" spans="14:17" x14ac:dyDescent="0.3">
      <c r="N960" s="30"/>
      <c r="O960" s="30"/>
      <c r="P960" s="30"/>
      <c r="Q960" s="30"/>
    </row>
    <row r="961" spans="14:17" x14ac:dyDescent="0.3">
      <c r="N961" s="30"/>
      <c r="O961" s="30"/>
      <c r="P961" s="30"/>
      <c r="Q961" s="30"/>
    </row>
    <row r="962" spans="14:17" x14ac:dyDescent="0.3">
      <c r="N962" s="30"/>
      <c r="O962" s="30"/>
      <c r="P962" s="30"/>
      <c r="Q962" s="30"/>
    </row>
    <row r="963" spans="14:17" x14ac:dyDescent="0.3">
      <c r="N963" s="30"/>
      <c r="O963" s="30"/>
      <c r="P963" s="30"/>
      <c r="Q963" s="30"/>
    </row>
    <row r="964" spans="14:17" x14ac:dyDescent="0.3">
      <c r="N964" s="30"/>
      <c r="O964" s="30"/>
      <c r="P964" s="30"/>
      <c r="Q964" s="30"/>
    </row>
    <row r="965" spans="14:17" x14ac:dyDescent="0.3">
      <c r="N965" s="30"/>
      <c r="O965" s="30"/>
      <c r="P965" s="30"/>
      <c r="Q965" s="30"/>
    </row>
    <row r="966" spans="14:17" x14ac:dyDescent="0.3">
      <c r="N966" s="30"/>
      <c r="O966" s="30"/>
      <c r="P966" s="30"/>
      <c r="Q966" s="30"/>
    </row>
    <row r="967" spans="14:17" x14ac:dyDescent="0.3">
      <c r="N967" s="30"/>
      <c r="O967" s="30"/>
      <c r="P967" s="30"/>
      <c r="Q967" s="30"/>
    </row>
    <row r="968" spans="14:17" x14ac:dyDescent="0.3">
      <c r="N968" s="30"/>
      <c r="O968" s="30"/>
      <c r="P968" s="30"/>
      <c r="Q968" s="30"/>
    </row>
    <row r="969" spans="14:17" x14ac:dyDescent="0.3">
      <c r="N969" s="30"/>
      <c r="O969" s="30"/>
      <c r="P969" s="30"/>
      <c r="Q969" s="30"/>
    </row>
    <row r="970" spans="14:17" x14ac:dyDescent="0.3">
      <c r="N970" s="30"/>
      <c r="O970" s="30"/>
      <c r="P970" s="30"/>
      <c r="Q970" s="30"/>
    </row>
    <row r="971" spans="14:17" x14ac:dyDescent="0.3">
      <c r="N971" s="30"/>
      <c r="O971" s="30"/>
      <c r="P971" s="30"/>
      <c r="Q971" s="30"/>
    </row>
    <row r="972" spans="14:17" x14ac:dyDescent="0.3">
      <c r="N972" s="30"/>
      <c r="O972" s="30"/>
      <c r="P972" s="30"/>
      <c r="Q972" s="30"/>
    </row>
    <row r="973" spans="14:17" x14ac:dyDescent="0.3">
      <c r="N973" s="30"/>
      <c r="O973" s="30"/>
      <c r="P973" s="30"/>
      <c r="Q973" s="30"/>
    </row>
    <row r="974" spans="14:17" x14ac:dyDescent="0.3">
      <c r="N974" s="30"/>
      <c r="O974" s="30"/>
      <c r="P974" s="30"/>
      <c r="Q974" s="30"/>
    </row>
    <row r="975" spans="14:17" x14ac:dyDescent="0.3">
      <c r="N975" s="30"/>
      <c r="O975" s="30"/>
      <c r="P975" s="30"/>
      <c r="Q975" s="30"/>
    </row>
    <row r="976" spans="14:17" x14ac:dyDescent="0.3">
      <c r="N976" s="30"/>
      <c r="O976" s="30"/>
      <c r="P976" s="30"/>
      <c r="Q976" s="30"/>
    </row>
    <row r="977" spans="14:17" x14ac:dyDescent="0.3">
      <c r="N977" s="30"/>
      <c r="O977" s="30"/>
      <c r="P977" s="30"/>
      <c r="Q977" s="30"/>
    </row>
    <row r="978" spans="14:17" x14ac:dyDescent="0.3">
      <c r="N978" s="30"/>
      <c r="O978" s="30"/>
      <c r="P978" s="30"/>
      <c r="Q978" s="30"/>
    </row>
    <row r="979" spans="14:17" x14ac:dyDescent="0.3">
      <c r="N979" s="30"/>
      <c r="O979" s="30"/>
      <c r="P979" s="30"/>
      <c r="Q979" s="30"/>
    </row>
    <row r="980" spans="14:17" x14ac:dyDescent="0.3">
      <c r="N980" s="30"/>
      <c r="O980" s="30"/>
      <c r="P980" s="30"/>
      <c r="Q980" s="30"/>
    </row>
    <row r="981" spans="14:17" x14ac:dyDescent="0.3">
      <c r="N981" s="30"/>
      <c r="O981" s="30"/>
      <c r="P981" s="30"/>
      <c r="Q981" s="30"/>
    </row>
    <row r="982" spans="14:17" x14ac:dyDescent="0.3">
      <c r="N982" s="30"/>
      <c r="O982" s="30"/>
      <c r="P982" s="30"/>
      <c r="Q982" s="30"/>
    </row>
    <row r="983" spans="14:17" x14ac:dyDescent="0.3">
      <c r="N983" s="30"/>
      <c r="O983" s="30"/>
      <c r="P983" s="30"/>
      <c r="Q983" s="30"/>
    </row>
    <row r="984" spans="14:17" x14ac:dyDescent="0.3">
      <c r="N984" s="30"/>
      <c r="O984" s="30"/>
      <c r="P984" s="30"/>
      <c r="Q984" s="30"/>
    </row>
    <row r="985" spans="14:17" x14ac:dyDescent="0.3">
      <c r="N985" s="30"/>
      <c r="O985" s="30"/>
      <c r="P985" s="30"/>
      <c r="Q985" s="30"/>
    </row>
    <row r="986" spans="14:17" x14ac:dyDescent="0.3">
      <c r="N986" s="30"/>
      <c r="O986" s="30"/>
      <c r="P986" s="30"/>
      <c r="Q986" s="30"/>
    </row>
    <row r="987" spans="14:17" x14ac:dyDescent="0.3">
      <c r="N987" s="30"/>
      <c r="O987" s="30"/>
      <c r="P987" s="30"/>
      <c r="Q987" s="30"/>
    </row>
    <row r="988" spans="14:17" x14ac:dyDescent="0.3">
      <c r="N988" s="30"/>
      <c r="O988" s="30"/>
      <c r="P988" s="30"/>
      <c r="Q988" s="30"/>
    </row>
    <row r="989" spans="14:17" x14ac:dyDescent="0.3">
      <c r="N989" s="30"/>
      <c r="O989" s="30"/>
      <c r="P989" s="30"/>
      <c r="Q989" s="30"/>
    </row>
    <row r="990" spans="14:17" x14ac:dyDescent="0.3">
      <c r="N990" s="30"/>
      <c r="O990" s="30"/>
      <c r="P990" s="30"/>
      <c r="Q990" s="30"/>
    </row>
    <row r="991" spans="14:17" x14ac:dyDescent="0.3">
      <c r="N991" s="30"/>
      <c r="O991" s="30"/>
      <c r="P991" s="30"/>
      <c r="Q991" s="30"/>
    </row>
    <row r="992" spans="14:17" x14ac:dyDescent="0.3">
      <c r="N992" s="30"/>
      <c r="O992" s="30"/>
      <c r="P992" s="30"/>
      <c r="Q992" s="30"/>
    </row>
    <row r="993" spans="14:17" x14ac:dyDescent="0.3">
      <c r="N993" s="30"/>
      <c r="O993" s="30"/>
      <c r="P993" s="30"/>
      <c r="Q993" s="30"/>
    </row>
    <row r="994" spans="14:17" x14ac:dyDescent="0.3">
      <c r="N994" s="30"/>
      <c r="O994" s="30"/>
      <c r="P994" s="30"/>
      <c r="Q994" s="30"/>
    </row>
    <row r="995" spans="14:17" x14ac:dyDescent="0.3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 x14ac:dyDescent="0.25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 x14ac:dyDescent="0.25">
      <c r="A1" s="639" t="str">
        <f>封面!$A$4</f>
        <v>彰化縣地方教育發展基金－彰化縣秀水鄉馬興國民小學</v>
      </c>
      <c r="B1" s="639"/>
      <c r="C1" s="639"/>
      <c r="D1" s="639"/>
      <c r="E1" s="639"/>
      <c r="F1" s="639"/>
      <c r="G1" s="639"/>
      <c r="H1" s="639"/>
      <c r="I1" s="639"/>
      <c r="J1" s="639"/>
      <c r="K1" s="639"/>
      <c r="L1" s="639"/>
      <c r="M1" s="639"/>
      <c r="N1" s="639"/>
      <c r="O1" s="639"/>
      <c r="P1" s="639"/>
      <c r="Q1" s="639"/>
      <c r="R1" s="639"/>
      <c r="S1" s="639"/>
      <c r="T1" s="639"/>
      <c r="U1" s="639"/>
      <c r="V1" s="638"/>
      <c r="W1" s="638"/>
    </row>
    <row r="2" spans="1:23" ht="19.8" hidden="1" x14ac:dyDescent="0.25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 x14ac:dyDescent="0.25">
      <c r="S3" s="716"/>
      <c r="T3" s="716"/>
      <c r="U3" s="716"/>
      <c r="V3" s="716"/>
      <c r="W3" s="716"/>
    </row>
    <row r="4" spans="1:23" ht="19.8" x14ac:dyDescent="0.25">
      <c r="A4" s="639" t="s">
        <v>57</v>
      </c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  <c r="O4" s="639"/>
      <c r="P4" s="639"/>
      <c r="Q4" s="639"/>
      <c r="R4" s="639"/>
      <c r="S4" s="639"/>
      <c r="T4" s="639"/>
      <c r="U4" s="639"/>
      <c r="V4" s="639"/>
      <c r="W4" s="639"/>
    </row>
    <row r="5" spans="1:23" ht="19.5" customHeight="1" x14ac:dyDescent="0.25">
      <c r="A5" s="640" t="str">
        <f>封面!$E$10&amp;封面!$H$10&amp;封面!$I$10&amp;封面!$J$10&amp;封面!$K$10&amp;封面!L10</f>
        <v>中華民國111年1月份</v>
      </c>
      <c r="B5" s="640"/>
      <c r="C5" s="640"/>
      <c r="D5" s="640"/>
      <c r="E5" s="640"/>
      <c r="F5" s="640"/>
      <c r="G5" s="640"/>
      <c r="H5" s="640"/>
      <c r="I5" s="640"/>
      <c r="J5" s="640"/>
      <c r="K5" s="640"/>
      <c r="L5" s="640"/>
      <c r="M5" s="640"/>
      <c r="N5" s="640"/>
      <c r="O5" s="640"/>
      <c r="P5" s="640"/>
      <c r="Q5" s="640"/>
      <c r="R5" s="640"/>
      <c r="S5" s="640"/>
      <c r="T5" s="640"/>
      <c r="U5" s="640"/>
      <c r="V5" s="640"/>
      <c r="W5" s="640"/>
    </row>
    <row r="6" spans="1:23" ht="13.2" hidden="1" x14ac:dyDescent="0.25">
      <c r="A6" s="640"/>
      <c r="B6" s="640"/>
      <c r="C6" s="640"/>
      <c r="D6" s="640"/>
      <c r="E6" s="640"/>
      <c r="F6" s="640"/>
      <c r="G6" s="640"/>
      <c r="H6" s="640"/>
      <c r="I6" s="640"/>
      <c r="J6" s="640"/>
      <c r="K6" s="640"/>
      <c r="L6" s="640"/>
      <c r="M6" s="640"/>
      <c r="N6" s="640"/>
      <c r="O6" s="640"/>
      <c r="P6" s="640"/>
      <c r="Q6" s="640"/>
      <c r="R6" s="640"/>
      <c r="S6" s="640"/>
      <c r="T6" s="640"/>
      <c r="U6" s="640"/>
      <c r="V6" s="640"/>
      <c r="W6" s="640"/>
    </row>
    <row r="7" spans="1:23" s="9" customFormat="1" ht="16.2" x14ac:dyDescent="0.25">
      <c r="A7" s="717" t="s">
        <v>1</v>
      </c>
      <c r="B7" s="717"/>
      <c r="C7" s="717"/>
      <c r="D7" s="717"/>
      <c r="E7" s="717"/>
      <c r="F7" s="717"/>
      <c r="G7" s="717"/>
      <c r="H7" s="717"/>
      <c r="I7" s="717"/>
      <c r="J7" s="717"/>
      <c r="K7" s="717"/>
      <c r="L7" s="717"/>
      <c r="M7" s="717"/>
      <c r="N7" s="717"/>
      <c r="O7" s="717"/>
      <c r="P7" s="717"/>
      <c r="Q7" s="717"/>
      <c r="R7" s="717"/>
      <c r="S7" s="717"/>
      <c r="T7" s="717"/>
      <c r="U7" s="717"/>
      <c r="V7" s="717"/>
      <c r="W7" s="717"/>
    </row>
    <row r="8" spans="1:23" s="15" customFormat="1" hidden="1" x14ac:dyDescent="0.25">
      <c r="A8" s="98"/>
      <c r="B8" s="98"/>
    </row>
    <row r="9" spans="1:23" s="15" customFormat="1" hidden="1" x14ac:dyDescent="0.25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 x14ac:dyDescent="0.25">
      <c r="A10" s="718" t="s">
        <v>64</v>
      </c>
      <c r="B10" s="727"/>
      <c r="C10" s="718" t="s">
        <v>59</v>
      </c>
      <c r="D10" s="719"/>
      <c r="E10" s="719"/>
      <c r="F10" s="719"/>
      <c r="G10" s="720"/>
      <c r="H10" s="713" t="s">
        <v>60</v>
      </c>
      <c r="I10" s="715" t="s">
        <v>58</v>
      </c>
      <c r="J10" s="701"/>
      <c r="K10" s="701"/>
      <c r="L10" s="701"/>
      <c r="M10" s="701"/>
      <c r="N10" s="701"/>
      <c r="O10" s="701"/>
      <c r="P10" s="715" t="s">
        <v>62</v>
      </c>
      <c r="Q10" s="701"/>
      <c r="R10" s="701"/>
      <c r="S10" s="701"/>
      <c r="T10" s="701"/>
      <c r="U10" s="718" t="s">
        <v>63</v>
      </c>
      <c r="V10" s="719"/>
      <c r="W10" s="720"/>
    </row>
    <row r="11" spans="1:23" s="21" customFormat="1" ht="12.75" hidden="1" customHeight="1" x14ac:dyDescent="0.25">
      <c r="A11" s="728"/>
      <c r="B11" s="729"/>
      <c r="C11" s="721"/>
      <c r="D11" s="722"/>
      <c r="E11" s="722"/>
      <c r="F11" s="722"/>
      <c r="G11" s="723"/>
      <c r="H11" s="703"/>
      <c r="I11" s="701"/>
      <c r="J11" s="701"/>
      <c r="K11" s="701"/>
      <c r="L11" s="701"/>
      <c r="M11" s="701"/>
      <c r="N11" s="701"/>
      <c r="O11" s="701"/>
      <c r="P11" s="701"/>
      <c r="Q11" s="701"/>
      <c r="R11" s="701"/>
      <c r="S11" s="701"/>
      <c r="T11" s="701"/>
      <c r="U11" s="721"/>
      <c r="V11" s="722"/>
      <c r="W11" s="723"/>
    </row>
    <row r="12" spans="1:23" s="22" customFormat="1" ht="12.75" customHeight="1" x14ac:dyDescent="0.25">
      <c r="A12" s="728"/>
      <c r="B12" s="729"/>
      <c r="C12" s="721"/>
      <c r="D12" s="722"/>
      <c r="E12" s="722"/>
      <c r="F12" s="722"/>
      <c r="G12" s="723"/>
      <c r="H12" s="703"/>
      <c r="I12" s="701"/>
      <c r="J12" s="701"/>
      <c r="K12" s="701"/>
      <c r="L12" s="701"/>
      <c r="M12" s="701"/>
      <c r="N12" s="701"/>
      <c r="O12" s="701"/>
      <c r="P12" s="701"/>
      <c r="Q12" s="701"/>
      <c r="R12" s="701"/>
      <c r="S12" s="701"/>
      <c r="T12" s="701"/>
      <c r="U12" s="721"/>
      <c r="V12" s="722"/>
      <c r="W12" s="723"/>
    </row>
    <row r="13" spans="1:23" s="5" customFormat="1" ht="12.75" hidden="1" customHeight="1" x14ac:dyDescent="0.25">
      <c r="A13" s="728"/>
      <c r="B13" s="729"/>
      <c r="C13" s="732"/>
      <c r="D13" s="733"/>
      <c r="E13" s="733"/>
      <c r="F13" s="722"/>
      <c r="G13" s="723"/>
      <c r="H13" s="703"/>
      <c r="I13" s="701"/>
      <c r="J13" s="701"/>
      <c r="K13" s="701"/>
      <c r="L13" s="701"/>
      <c r="M13" s="701"/>
      <c r="N13" s="701"/>
      <c r="O13" s="701"/>
      <c r="P13" s="701"/>
      <c r="Q13" s="701"/>
      <c r="R13" s="701"/>
      <c r="S13" s="701"/>
      <c r="T13" s="701"/>
      <c r="U13" s="721"/>
      <c r="V13" s="722"/>
      <c r="W13" s="723"/>
    </row>
    <row r="14" spans="1:23" s="5" customFormat="1" ht="12.75" customHeight="1" x14ac:dyDescent="0.25">
      <c r="A14" s="728"/>
      <c r="B14" s="729"/>
      <c r="C14" s="734"/>
      <c r="D14" s="735"/>
      <c r="E14" s="735"/>
      <c r="F14" s="725"/>
      <c r="G14" s="644"/>
      <c r="H14" s="703"/>
      <c r="I14" s="701"/>
      <c r="J14" s="701"/>
      <c r="K14" s="701"/>
      <c r="L14" s="701"/>
      <c r="M14" s="701"/>
      <c r="N14" s="701"/>
      <c r="O14" s="701"/>
      <c r="P14" s="701"/>
      <c r="Q14" s="701"/>
      <c r="R14" s="701"/>
      <c r="S14" s="701"/>
      <c r="T14" s="701"/>
      <c r="U14" s="721"/>
      <c r="V14" s="722"/>
      <c r="W14" s="723"/>
    </row>
    <row r="15" spans="1:23" s="5" customFormat="1" ht="12.75" customHeight="1" x14ac:dyDescent="0.25">
      <c r="A15" s="728"/>
      <c r="B15" s="729"/>
      <c r="C15" s="736" t="s">
        <v>328</v>
      </c>
      <c r="D15" s="736" t="s">
        <v>329</v>
      </c>
      <c r="E15" s="736" t="s">
        <v>330</v>
      </c>
      <c r="F15" s="713" t="s">
        <v>65</v>
      </c>
      <c r="G15" s="713" t="s">
        <v>66</v>
      </c>
      <c r="H15" s="703"/>
      <c r="I15" s="715" t="s">
        <v>61</v>
      </c>
      <c r="J15" s="701"/>
      <c r="K15" s="701"/>
      <c r="L15" s="701"/>
      <c r="M15" s="715" t="s">
        <v>13</v>
      </c>
      <c r="N15" s="701"/>
      <c r="O15" s="701"/>
      <c r="P15" s="701"/>
      <c r="Q15" s="701"/>
      <c r="R15" s="701"/>
      <c r="S15" s="701"/>
      <c r="T15" s="701"/>
      <c r="U15" s="721"/>
      <c r="V15" s="722"/>
      <c r="W15" s="723"/>
    </row>
    <row r="16" spans="1:23" s="5" customFormat="1" ht="12.75" customHeight="1" x14ac:dyDescent="0.25">
      <c r="A16" s="728"/>
      <c r="B16" s="729"/>
      <c r="C16" s="737"/>
      <c r="D16" s="737"/>
      <c r="E16" s="737"/>
      <c r="F16" s="737"/>
      <c r="G16" s="703"/>
      <c r="H16" s="703"/>
      <c r="I16" s="701"/>
      <c r="J16" s="701"/>
      <c r="K16" s="701"/>
      <c r="L16" s="701"/>
      <c r="M16" s="701"/>
      <c r="N16" s="701"/>
      <c r="O16" s="701"/>
      <c r="P16" s="701"/>
      <c r="Q16" s="701"/>
      <c r="R16" s="701"/>
      <c r="S16" s="701"/>
      <c r="T16" s="701"/>
      <c r="U16" s="721"/>
      <c r="V16" s="722"/>
      <c r="W16" s="723"/>
    </row>
    <row r="17" spans="1:23" s="5" customFormat="1" ht="12.75" customHeight="1" x14ac:dyDescent="0.25">
      <c r="A17" s="728"/>
      <c r="B17" s="729"/>
      <c r="C17" s="737"/>
      <c r="D17" s="737"/>
      <c r="E17" s="737"/>
      <c r="F17" s="737"/>
      <c r="G17" s="703"/>
      <c r="H17" s="703"/>
      <c r="I17" s="715" t="s">
        <v>68</v>
      </c>
      <c r="J17" s="726" t="s">
        <v>67</v>
      </c>
      <c r="K17" s="715" t="s">
        <v>69</v>
      </c>
      <c r="L17" s="714" t="s">
        <v>70</v>
      </c>
      <c r="M17" s="715" t="s">
        <v>4</v>
      </c>
      <c r="N17" s="714" t="s">
        <v>70</v>
      </c>
      <c r="O17" s="701"/>
      <c r="P17" s="701"/>
      <c r="Q17" s="701"/>
      <c r="R17" s="701"/>
      <c r="S17" s="701"/>
      <c r="T17" s="701"/>
      <c r="U17" s="721"/>
      <c r="V17" s="722"/>
      <c r="W17" s="723"/>
    </row>
    <row r="18" spans="1:23" s="5" customFormat="1" ht="12.75" customHeight="1" x14ac:dyDescent="0.25">
      <c r="A18" s="728"/>
      <c r="B18" s="729"/>
      <c r="C18" s="737"/>
      <c r="D18" s="737"/>
      <c r="E18" s="737"/>
      <c r="F18" s="737"/>
      <c r="G18" s="703"/>
      <c r="H18" s="703"/>
      <c r="I18" s="701"/>
      <c r="J18" s="726"/>
      <c r="K18" s="701"/>
      <c r="L18" s="701"/>
      <c r="M18" s="701"/>
      <c r="N18" s="701"/>
      <c r="O18" s="701"/>
      <c r="P18" s="701"/>
      <c r="Q18" s="701"/>
      <c r="R18" s="701"/>
      <c r="S18" s="701"/>
      <c r="T18" s="701"/>
      <c r="U18" s="721"/>
      <c r="V18" s="722"/>
      <c r="W18" s="723"/>
    </row>
    <row r="19" spans="1:23" s="5" customFormat="1" ht="12.75" hidden="1" customHeight="1" x14ac:dyDescent="0.25">
      <c r="A19" s="728"/>
      <c r="B19" s="729"/>
      <c r="C19" s="433"/>
      <c r="D19" s="433"/>
      <c r="E19" s="433"/>
      <c r="F19" s="343"/>
      <c r="G19" s="703"/>
      <c r="H19" s="703"/>
      <c r="I19" s="701"/>
      <c r="J19" s="726"/>
      <c r="K19" s="701"/>
      <c r="L19" s="701"/>
      <c r="M19" s="701"/>
      <c r="N19" s="701"/>
      <c r="O19" s="701"/>
      <c r="P19" s="701"/>
      <c r="Q19" s="701"/>
      <c r="R19" s="701"/>
      <c r="S19" s="701"/>
      <c r="T19" s="701"/>
      <c r="U19" s="721"/>
      <c r="V19" s="722"/>
      <c r="W19" s="723"/>
    </row>
    <row r="20" spans="1:23" s="5" customFormat="1" ht="12.75" hidden="1" customHeight="1" x14ac:dyDescent="0.25">
      <c r="A20" s="730"/>
      <c r="B20" s="731"/>
      <c r="C20" s="434"/>
      <c r="D20" s="434"/>
      <c r="E20" s="434"/>
      <c r="F20" s="340"/>
      <c r="G20" s="645"/>
      <c r="H20" s="645"/>
      <c r="I20" s="701"/>
      <c r="J20" s="726"/>
      <c r="K20" s="701"/>
      <c r="L20" s="701"/>
      <c r="M20" s="701"/>
      <c r="N20" s="701"/>
      <c r="O20" s="701"/>
      <c r="P20" s="701"/>
      <c r="Q20" s="701"/>
      <c r="R20" s="701"/>
      <c r="S20" s="701"/>
      <c r="T20" s="701"/>
      <c r="U20" s="724"/>
      <c r="V20" s="725"/>
      <c r="W20" s="644"/>
    </row>
    <row r="21" spans="1:23" ht="14.25" customHeight="1" x14ac:dyDescent="0.25">
      <c r="A21" s="99" t="s">
        <v>46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738"/>
      <c r="S21" s="739"/>
      <c r="T21" s="740"/>
      <c r="U21" s="741"/>
      <c r="V21" s="739"/>
      <c r="W21" s="740"/>
    </row>
    <row r="22" spans="1:23" x14ac:dyDescent="0.25">
      <c r="A22" s="101"/>
      <c r="B22" s="102" t="s">
        <v>46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742"/>
      <c r="S22" s="743"/>
      <c r="T22" s="744"/>
      <c r="U22" s="745"/>
      <c r="V22" s="743"/>
      <c r="W22" s="744"/>
    </row>
    <row r="23" spans="1:23" x14ac:dyDescent="0.25">
      <c r="A23" s="101"/>
      <c r="B23" s="102" t="s">
        <v>51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742"/>
      <c r="S23" s="743"/>
      <c r="T23" s="744"/>
      <c r="U23" s="745"/>
      <c r="V23" s="743"/>
      <c r="W23" s="744"/>
    </row>
    <row r="24" spans="1:23" ht="14.25" customHeight="1" x14ac:dyDescent="0.25">
      <c r="A24" s="103" t="s">
        <v>47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742"/>
      <c r="S24" s="743"/>
      <c r="T24" s="744"/>
      <c r="U24" s="745"/>
      <c r="V24" s="743"/>
      <c r="W24" s="744"/>
    </row>
    <row r="25" spans="1:23" x14ac:dyDescent="0.25">
      <c r="A25" s="101"/>
      <c r="B25" s="102" t="s">
        <v>47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742"/>
      <c r="S25" s="743"/>
      <c r="T25" s="744"/>
      <c r="U25" s="745"/>
      <c r="V25" s="743"/>
      <c r="W25" s="744"/>
    </row>
    <row r="26" spans="1:23" x14ac:dyDescent="0.25">
      <c r="A26" s="101"/>
      <c r="B26" s="102" t="s">
        <v>51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742"/>
      <c r="S26" s="743"/>
      <c r="T26" s="744"/>
      <c r="U26" s="745"/>
      <c r="V26" s="743"/>
      <c r="W26" s="744"/>
    </row>
    <row r="27" spans="1:23" ht="14.25" customHeight="1" x14ac:dyDescent="0.25">
      <c r="A27" s="103" t="s">
        <v>48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742"/>
      <c r="S27" s="743"/>
      <c r="T27" s="744"/>
      <c r="U27" s="745"/>
      <c r="V27" s="743"/>
      <c r="W27" s="744"/>
    </row>
    <row r="28" spans="1:23" x14ac:dyDescent="0.25">
      <c r="A28" s="101"/>
      <c r="B28" s="102" t="s">
        <v>48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742"/>
      <c r="S28" s="743"/>
      <c r="T28" s="744"/>
      <c r="U28" s="745"/>
      <c r="V28" s="743"/>
      <c r="W28" s="744"/>
    </row>
    <row r="29" spans="1:23" x14ac:dyDescent="0.25">
      <c r="A29" s="101"/>
      <c r="B29" s="102" t="s">
        <v>51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742"/>
      <c r="S29" s="743"/>
      <c r="T29" s="744"/>
      <c r="U29" s="745"/>
      <c r="V29" s="743"/>
      <c r="W29" s="744"/>
    </row>
    <row r="30" spans="1:23" ht="14.25" customHeight="1" x14ac:dyDescent="0.25">
      <c r="A30" s="103" t="s">
        <v>49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742"/>
      <c r="S30" s="743"/>
      <c r="T30" s="744"/>
      <c r="U30" s="745"/>
      <c r="V30" s="743"/>
      <c r="W30" s="744"/>
    </row>
    <row r="31" spans="1:23" x14ac:dyDescent="0.25">
      <c r="A31" s="101"/>
      <c r="B31" s="102" t="s">
        <v>49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742"/>
      <c r="S31" s="743"/>
      <c r="T31" s="744"/>
      <c r="U31" s="745"/>
      <c r="V31" s="743"/>
      <c r="W31" s="744"/>
    </row>
    <row r="32" spans="1:23" ht="12.75" customHeight="1" x14ac:dyDescent="0.25">
      <c r="A32" s="101"/>
      <c r="B32" s="102" t="s">
        <v>51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742"/>
      <c r="S32" s="743"/>
      <c r="T32" s="744"/>
      <c r="U32" s="745"/>
      <c r="V32" s="743"/>
      <c r="W32" s="744"/>
    </row>
    <row r="33" spans="1:23" ht="14.25" customHeight="1" x14ac:dyDescent="0.25">
      <c r="A33" s="101" t="s">
        <v>50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742"/>
      <c r="S33" s="743"/>
      <c r="T33" s="744"/>
      <c r="U33" s="745"/>
      <c r="V33" s="743"/>
      <c r="W33" s="744"/>
    </row>
    <row r="34" spans="1:23" x14ac:dyDescent="0.25">
      <c r="A34" s="103"/>
      <c r="B34" s="102" t="s">
        <v>50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742"/>
      <c r="S34" s="743"/>
      <c r="T34" s="744"/>
      <c r="U34" s="745"/>
      <c r="V34" s="743"/>
      <c r="W34" s="744"/>
    </row>
    <row r="35" spans="1:23" x14ac:dyDescent="0.25">
      <c r="A35" s="101"/>
      <c r="B35" s="102" t="s">
        <v>51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742"/>
      <c r="S35" s="743"/>
      <c r="T35" s="744"/>
      <c r="U35" s="745"/>
      <c r="V35" s="743"/>
      <c r="W35" s="744"/>
    </row>
    <row r="36" spans="1:23" ht="14.25" customHeight="1" x14ac:dyDescent="0.25">
      <c r="A36" s="101" t="s">
        <v>225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742"/>
      <c r="S36" s="743"/>
      <c r="T36" s="744"/>
      <c r="U36" s="745"/>
      <c r="V36" s="743"/>
      <c r="W36" s="744"/>
    </row>
    <row r="37" spans="1:23" ht="14.25" customHeight="1" x14ac:dyDescent="0.25">
      <c r="A37" s="103"/>
      <c r="B37" s="102" t="s">
        <v>225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742"/>
      <c r="S37" s="743"/>
      <c r="T37" s="744"/>
      <c r="U37" s="745"/>
      <c r="V37" s="743"/>
      <c r="W37" s="744"/>
    </row>
    <row r="38" spans="1:23" x14ac:dyDescent="0.25">
      <c r="A38" s="101"/>
      <c r="B38" s="102" t="s">
        <v>51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742"/>
      <c r="S38" s="743"/>
      <c r="T38" s="744"/>
      <c r="U38" s="745"/>
      <c r="V38" s="743"/>
      <c r="W38" s="744"/>
    </row>
    <row r="39" spans="1:23" ht="9.75" customHeight="1" x14ac:dyDescent="0.25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742"/>
      <c r="S39" s="743"/>
      <c r="T39" s="744"/>
      <c r="U39" s="745"/>
      <c r="V39" s="743"/>
      <c r="W39" s="744"/>
    </row>
    <row r="40" spans="1:23" ht="14.25" customHeight="1" x14ac:dyDescent="0.25">
      <c r="A40" s="107" t="s">
        <v>175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746"/>
      <c r="S40" s="747"/>
      <c r="T40" s="748"/>
      <c r="U40" s="749"/>
      <c r="V40" s="747"/>
      <c r="W40" s="748"/>
    </row>
    <row r="41" spans="1:23" x14ac:dyDescent="0.25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 x14ac:dyDescent="0.25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 x14ac:dyDescent="0.25">
      <c r="A1" s="639" t="str">
        <f>封面!$A$4</f>
        <v>彰化縣地方教育發展基金－彰化縣秀水鄉馬興國民小學</v>
      </c>
      <c r="B1" s="639"/>
      <c r="C1" s="639"/>
      <c r="D1" s="639"/>
      <c r="E1" s="639"/>
      <c r="F1" s="639"/>
      <c r="G1" s="639"/>
      <c r="H1" s="639"/>
    </row>
    <row r="2" spans="1:16" ht="19.5" hidden="1" customHeight="1" x14ac:dyDescent="0.25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 x14ac:dyDescent="0.25"/>
    <row r="4" spans="1:16" ht="22.2" x14ac:dyDescent="0.25">
      <c r="A4" s="656" t="s">
        <v>40</v>
      </c>
      <c r="B4" s="656"/>
      <c r="C4" s="656"/>
      <c r="D4" s="656"/>
      <c r="E4" s="656"/>
      <c r="F4" s="656"/>
      <c r="G4" s="656"/>
      <c r="H4" s="656"/>
    </row>
    <row r="5" spans="1:16" ht="6.75" customHeight="1" x14ac:dyDescent="0.25"/>
    <row r="6" spans="1:16" ht="16.2" x14ac:dyDescent="0.25">
      <c r="A6" s="640" t="str">
        <f>封面!$E$10&amp;封面!$H$10&amp;封面!$I$10&amp;封面!$J$10&amp;封面!$K$10&amp;封面!L10</f>
        <v>中華民國111年1月份</v>
      </c>
      <c r="B6" s="640"/>
      <c r="C6" s="640"/>
      <c r="D6" s="640"/>
      <c r="E6" s="640"/>
      <c r="F6" s="640"/>
      <c r="G6" s="640"/>
      <c r="H6" s="640"/>
    </row>
    <row r="7" spans="1:16" ht="14.25" customHeight="1" x14ac:dyDescent="0.25">
      <c r="A7" s="603" t="s">
        <v>41</v>
      </c>
      <c r="B7" s="603"/>
      <c r="C7" s="603"/>
      <c r="D7" s="603"/>
      <c r="E7" s="603"/>
      <c r="F7" s="603"/>
      <c r="G7" s="603"/>
      <c r="H7" s="603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 x14ac:dyDescent="0.25"/>
    <row r="9" spans="1:16" ht="9" customHeight="1" x14ac:dyDescent="0.25">
      <c r="A9" s="12"/>
      <c r="B9" s="4"/>
      <c r="C9" s="11"/>
      <c r="D9" s="4"/>
      <c r="E9" s="11"/>
      <c r="F9" s="11"/>
      <c r="G9" s="12"/>
      <c r="H9" s="761" t="s">
        <v>42</v>
      </c>
      <c r="I9" s="150"/>
    </row>
    <row r="10" spans="1:16" ht="14.25" customHeight="1" x14ac:dyDescent="0.25">
      <c r="A10" s="759" t="s">
        <v>43</v>
      </c>
      <c r="B10" s="755"/>
      <c r="C10" s="753" t="s">
        <v>53</v>
      </c>
      <c r="D10" s="755" t="s">
        <v>54</v>
      </c>
      <c r="E10" s="753" t="s">
        <v>55</v>
      </c>
      <c r="F10" s="753" t="s">
        <v>56</v>
      </c>
      <c r="G10" s="759" t="s">
        <v>44</v>
      </c>
      <c r="H10" s="762"/>
      <c r="I10" s="150"/>
      <c r="K10" s="207" t="s">
        <v>195</v>
      </c>
      <c r="L10" s="207" t="s">
        <v>196</v>
      </c>
      <c r="M10" s="750" t="s">
        <v>211</v>
      </c>
      <c r="N10" s="757" t="s">
        <v>224</v>
      </c>
      <c r="O10" s="752" t="s">
        <v>222</v>
      </c>
    </row>
    <row r="11" spans="1:16" ht="13.8" x14ac:dyDescent="0.25">
      <c r="A11" s="760"/>
      <c r="B11" s="756"/>
      <c r="C11" s="754"/>
      <c r="D11" s="756"/>
      <c r="E11" s="754"/>
      <c r="F11" s="754"/>
      <c r="G11" s="760"/>
      <c r="H11" s="763"/>
      <c r="I11" s="150"/>
      <c r="M11" s="751"/>
      <c r="N11" s="758"/>
      <c r="O11" s="751"/>
      <c r="P11" s="252" t="s">
        <v>223</v>
      </c>
    </row>
    <row r="12" spans="1:16" ht="12.75" hidden="1" customHeight="1" x14ac:dyDescent="0.25">
      <c r="H12" s="122"/>
      <c r="I12" s="150"/>
    </row>
    <row r="13" spans="1:16" ht="12.75" hidden="1" customHeight="1" x14ac:dyDescent="0.25">
      <c r="H13" s="14"/>
      <c r="I13" s="14"/>
    </row>
    <row r="14" spans="1:16" ht="12.75" hidden="1" customHeight="1" x14ac:dyDescent="0.25">
      <c r="H14" s="14"/>
      <c r="I14" s="14"/>
    </row>
    <row r="15" spans="1:16" ht="25.5" customHeight="1" x14ac:dyDescent="0.25">
      <c r="A15" s="94" t="s">
        <v>45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D15-[5]固定項目!D15</f>
        <v>-761342</v>
      </c>
      <c r="L15" s="254">
        <f>E15-[5]固定項目!E15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 x14ac:dyDescent="0.25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D16-[5]固定項目!D16</f>
        <v>0</v>
      </c>
      <c r="L16" s="255">
        <f>E16-[5]固定項目!E16</f>
        <v>0</v>
      </c>
      <c r="P16" s="257"/>
    </row>
    <row r="17" spans="1:18" ht="21" hidden="1" customHeight="1" x14ac:dyDescent="0.25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D17-[5]固定項目!D17</f>
        <v>0</v>
      </c>
      <c r="L17" s="255">
        <f>E17-[5]固定項目!E17</f>
        <v>0</v>
      </c>
      <c r="P17" s="257"/>
    </row>
    <row r="18" spans="1:18" ht="26.25" customHeight="1" x14ac:dyDescent="0.25">
      <c r="A18" s="19"/>
      <c r="B18" s="96" t="s">
        <v>174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D18-[6]固定項目!D18</f>
        <v>0</v>
      </c>
      <c r="L18" s="255">
        <f>E18-[6]固定項目!E18</f>
        <v>0</v>
      </c>
      <c r="O18" s="256">
        <f>M18-N18+[6]固定項目!O18</f>
        <v>0</v>
      </c>
      <c r="P18" s="257"/>
    </row>
    <row r="19" spans="1:18" ht="21" hidden="1" customHeight="1" x14ac:dyDescent="0.25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D19-[6]固定項目!D20</f>
        <v>0</v>
      </c>
      <c r="L19" s="255">
        <f>E19-[6]固定項目!E20</f>
        <v>0</v>
      </c>
      <c r="O19" s="256">
        <f>M19-N19+[6]固定項目!O20</f>
        <v>0</v>
      </c>
      <c r="P19" s="257"/>
    </row>
    <row r="20" spans="1:18" ht="21" customHeight="1" x14ac:dyDescent="0.25">
      <c r="A20" s="20"/>
      <c r="B20" s="97" t="s">
        <v>46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D20-[6]固定項目!D21</f>
        <v>0</v>
      </c>
      <c r="L20" s="255">
        <f>E20-[6]固定項目!E21</f>
        <v>0</v>
      </c>
      <c r="O20" s="256">
        <f>M20-N20+[6]固定項目!O21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 x14ac:dyDescent="0.25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D21-[6]固定項目!D23</f>
        <v>0</v>
      </c>
      <c r="L21" s="255">
        <f>E21-[6]固定項目!E23</f>
        <v>0</v>
      </c>
      <c r="O21" s="256">
        <f>M21-N21+[6]固定項目!O23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 x14ac:dyDescent="0.25">
      <c r="A22" s="20"/>
      <c r="B22" s="97" t="s">
        <v>47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D22-[6]固定項目!D24</f>
        <v>-65606</v>
      </c>
      <c r="L22" s="255">
        <f>E22-[6]固定項目!E24</f>
        <v>0</v>
      </c>
      <c r="M22" s="238">
        <v>32803</v>
      </c>
      <c r="O22" s="256">
        <f>M22-N22+[6]固定項目!O24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 x14ac:dyDescent="0.25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D23-[6]固定項目!D26</f>
        <v>0</v>
      </c>
      <c r="L23" s="255">
        <f>E23-[6]固定項目!E26</f>
        <v>0</v>
      </c>
      <c r="O23" s="256">
        <f>M23-N23+[6]固定項目!O26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 x14ac:dyDescent="0.25">
      <c r="A24" s="20"/>
      <c r="B24" s="97" t="s">
        <v>48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D24-[6]固定項目!D27</f>
        <v>0</v>
      </c>
      <c r="L24" s="255">
        <f>E24-[6]固定項目!E27</f>
        <v>-462500</v>
      </c>
      <c r="M24" s="238">
        <v>83429</v>
      </c>
      <c r="O24" s="256">
        <f>M24-N24+[6]固定項目!O27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 x14ac:dyDescent="0.25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D25-[6]固定項目!D29</f>
        <v>0</v>
      </c>
      <c r="L25" s="255">
        <f>E25-[6]固定項目!E29</f>
        <v>0</v>
      </c>
      <c r="O25" s="256">
        <f>M25-N25+[6]固定項目!O29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 x14ac:dyDescent="0.25">
      <c r="A26" s="20"/>
      <c r="B26" s="97" t="s">
        <v>49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D26-[6]固定項目!D30</f>
        <v>-112736</v>
      </c>
      <c r="L26" s="255">
        <f>E26-[6]固定項目!E30</f>
        <v>-343611</v>
      </c>
      <c r="M26" s="238">
        <v>24242</v>
      </c>
      <c r="O26" s="256">
        <f>M26-N26+[6]固定項目!O30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 x14ac:dyDescent="0.25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D27-[6]固定項目!D32</f>
        <v>0</v>
      </c>
      <c r="L27" s="255">
        <f>E27-[6]固定項目!E32</f>
        <v>0</v>
      </c>
      <c r="O27" s="256">
        <f>M27-N27+[6]固定項目!O32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 x14ac:dyDescent="0.25">
      <c r="A28" s="20"/>
      <c r="B28" s="97" t="s">
        <v>50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D28-[6]固定項目!D33</f>
        <v>0</v>
      </c>
      <c r="L28" s="255">
        <f>E28-[6]固定項目!E33</f>
        <v>-98000</v>
      </c>
      <c r="M28" s="238">
        <v>5018</v>
      </c>
      <c r="O28" s="256">
        <f>M28-N28+[6]固定項目!O33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 x14ac:dyDescent="0.25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D29-[6]固定項目!D35</f>
        <v>0</v>
      </c>
      <c r="L29" s="255">
        <f>E29-[6]固定項目!E35</f>
        <v>0</v>
      </c>
      <c r="O29" s="256">
        <f>M29-N29+[6]固定項目!O35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 x14ac:dyDescent="0.25">
      <c r="A30" s="20"/>
      <c r="B30" s="97" t="s">
        <v>205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D30-[6]固定項目!D36</f>
        <v>-596000</v>
      </c>
      <c r="L30" s="255">
        <f>E30-[6]固定項目!E36</f>
        <v>-111600</v>
      </c>
      <c r="M30" s="238">
        <v>13923</v>
      </c>
      <c r="O30" s="256">
        <f>M30-N30+[6]固定項目!O36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 x14ac:dyDescent="0.25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D31-[6]固定項目!D38</f>
        <v>0</v>
      </c>
      <c r="L31" s="255">
        <f>E31-[6]固定項目!E38</f>
        <v>0</v>
      </c>
      <c r="O31" s="256">
        <f>M31-N31+[6]固定項目!O38</f>
        <v>0</v>
      </c>
      <c r="P31" s="251">
        <f t="shared" si="2"/>
        <v>0</v>
      </c>
    </row>
    <row r="32" spans="1:18" ht="21" customHeight="1" x14ac:dyDescent="0.25">
      <c r="A32" s="20"/>
      <c r="B32" s="97" t="s">
        <v>51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D32-[6]固定項目!D39</f>
        <v>0</v>
      </c>
      <c r="L32" s="255">
        <f>E32-[6]固定項目!E39</f>
        <v>0</v>
      </c>
      <c r="O32" s="256">
        <f>M32-N32+[6]固定項目!O39</f>
        <v>0</v>
      </c>
      <c r="P32" s="251">
        <f t="shared" si="2"/>
        <v>0</v>
      </c>
    </row>
    <row r="33" spans="1:16" ht="21" hidden="1" customHeight="1" x14ac:dyDescent="0.25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D33-[6]固定項目!D41</f>
        <v>0</v>
      </c>
      <c r="L33" s="255">
        <f>E33-[6]固定項目!E41</f>
        <v>0</v>
      </c>
      <c r="O33" s="256">
        <f>M33-N33+[6]固定項目!O41</f>
        <v>0</v>
      </c>
      <c r="P33" s="251">
        <f t="shared" si="2"/>
        <v>0</v>
      </c>
    </row>
    <row r="34" spans="1:16" ht="21" customHeight="1" x14ac:dyDescent="0.25">
      <c r="A34" s="20"/>
      <c r="B34" s="97" t="s">
        <v>206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D34-[6]固定項目!D42</f>
        <v>0</v>
      </c>
      <c r="L34" s="255">
        <f>E34-[6]固定項目!E42</f>
        <v>0</v>
      </c>
      <c r="M34" s="253"/>
      <c r="N34" s="253">
        <f>E34</f>
        <v>0</v>
      </c>
      <c r="O34" s="256">
        <f>M34-N34+[6]固定項目!O42</f>
        <v>0</v>
      </c>
      <c r="P34" s="251">
        <f t="shared" si="2"/>
        <v>0</v>
      </c>
    </row>
    <row r="35" spans="1:16" ht="21" hidden="1" customHeight="1" x14ac:dyDescent="0.25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D35-[6]固定項目!D44</f>
        <v>0</v>
      </c>
      <c r="L35" s="255">
        <f>E35-[6]固定項目!E44</f>
        <v>0</v>
      </c>
      <c r="O35" s="256">
        <f>M35-N35+[6]固定項目!O44</f>
        <v>0</v>
      </c>
      <c r="P35" s="251">
        <f t="shared" si="2"/>
        <v>0</v>
      </c>
    </row>
    <row r="36" spans="1:16" ht="21" customHeight="1" x14ac:dyDescent="0.25">
      <c r="A36" s="20"/>
      <c r="B36" s="97" t="s">
        <v>52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D36-[6]固定項目!D45</f>
        <v>0</v>
      </c>
      <c r="L36" s="255">
        <f>E36-[6]固定項目!E45</f>
        <v>0</v>
      </c>
      <c r="O36" s="256">
        <f>M36-N36+[6]固定項目!O45</f>
        <v>0</v>
      </c>
      <c r="P36" s="251">
        <f t="shared" si="2"/>
        <v>0</v>
      </c>
    </row>
    <row r="37" spans="1:16" ht="21" hidden="1" customHeight="1" x14ac:dyDescent="0.25">
      <c r="A37" s="233"/>
      <c r="B37" s="234"/>
      <c r="C37" s="14"/>
      <c r="D37" s="14"/>
      <c r="E37" s="14"/>
      <c r="F37" s="14"/>
      <c r="G37" s="275"/>
      <c r="H37" s="14"/>
      <c r="O37" s="256">
        <f>M37-N37+[6]固定項目!O47</f>
        <v>0</v>
      </c>
      <c r="P37" s="251">
        <f t="shared" si="2"/>
        <v>0</v>
      </c>
    </row>
    <row r="38" spans="1:16" ht="21" customHeight="1" x14ac:dyDescent="0.25">
      <c r="A38" s="233"/>
      <c r="B38" s="235" t="s">
        <v>207</v>
      </c>
      <c r="C38" s="14"/>
      <c r="D38" s="14"/>
      <c r="E38" s="14"/>
      <c r="F38" s="14"/>
      <c r="G38" s="275"/>
      <c r="H38" s="14"/>
      <c r="O38" s="256">
        <f>M38-N38+[6]固定項目!O48</f>
        <v>0</v>
      </c>
      <c r="P38" s="251">
        <f t="shared" si="2"/>
        <v>0</v>
      </c>
    </row>
    <row r="39" spans="1:16" ht="21" hidden="1" customHeight="1" x14ac:dyDescent="0.25">
      <c r="A39" s="233"/>
      <c r="B39" s="234"/>
      <c r="C39" s="14"/>
      <c r="D39" s="14"/>
      <c r="E39" s="14"/>
      <c r="F39" s="14"/>
      <c r="G39" s="275"/>
      <c r="H39" s="14"/>
      <c r="O39" s="256">
        <f>M39-N39+[6]固定項目!O50</f>
        <v>0</v>
      </c>
      <c r="P39" s="251">
        <f t="shared" si="2"/>
        <v>0</v>
      </c>
    </row>
    <row r="40" spans="1:16" ht="21" customHeight="1" x14ac:dyDescent="0.25">
      <c r="A40" s="233"/>
      <c r="B40" s="235" t="s">
        <v>208</v>
      </c>
      <c r="C40" s="14"/>
      <c r="D40" s="14"/>
      <c r="E40" s="14"/>
      <c r="F40" s="14"/>
      <c r="G40" s="275"/>
      <c r="H40" s="14"/>
      <c r="O40" s="256">
        <f>M40-N40+[6]固定項目!O51</f>
        <v>0</v>
      </c>
      <c r="P40" s="251">
        <f t="shared" si="2"/>
        <v>0</v>
      </c>
    </row>
    <row r="41" spans="1:16" ht="21" hidden="1" customHeight="1" x14ac:dyDescent="0.25">
      <c r="A41" s="233"/>
      <c r="B41" s="234"/>
      <c r="C41" s="14"/>
      <c r="D41" s="14"/>
      <c r="E41" s="14"/>
      <c r="F41" s="14"/>
      <c r="G41" s="275"/>
      <c r="H41" s="14"/>
      <c r="O41" s="256">
        <f>M41-N41+[6]固定項目!O53</f>
        <v>0</v>
      </c>
      <c r="P41" s="251">
        <f t="shared" si="2"/>
        <v>0</v>
      </c>
    </row>
    <row r="42" spans="1:16" ht="21" customHeight="1" x14ac:dyDescent="0.25">
      <c r="A42" s="233"/>
      <c r="B42" s="236" t="s">
        <v>209</v>
      </c>
      <c r="C42" s="14"/>
      <c r="D42" s="14"/>
      <c r="E42" s="14"/>
      <c r="F42" s="14"/>
      <c r="G42" s="275"/>
      <c r="H42" s="14"/>
      <c r="O42" s="256">
        <f>M42-N42+[6]固定項目!O54</f>
        <v>0</v>
      </c>
      <c r="P42" s="251">
        <f t="shared" si="2"/>
        <v>0</v>
      </c>
    </row>
    <row r="43" spans="1:16" ht="12.75" hidden="1" customHeight="1" x14ac:dyDescent="0.25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 x14ac:dyDescent="0.25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5" style="289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 x14ac:dyDescent="0.4">
      <c r="B1" s="772" t="s">
        <v>300</v>
      </c>
      <c r="C1" s="772"/>
      <c r="D1" s="772"/>
      <c r="E1" s="772"/>
      <c r="F1" s="772"/>
      <c r="G1" s="772"/>
      <c r="H1" s="772"/>
      <c r="I1" s="772"/>
      <c r="J1" s="772"/>
      <c r="K1" s="772"/>
      <c r="L1" s="772"/>
    </row>
    <row r="2" spans="1:13" ht="22.2" x14ac:dyDescent="0.4">
      <c r="B2" s="772" t="s">
        <v>241</v>
      </c>
      <c r="C2" s="772"/>
      <c r="D2" s="772"/>
      <c r="E2" s="772"/>
      <c r="F2" s="772"/>
      <c r="G2" s="772"/>
      <c r="H2" s="772"/>
      <c r="I2" s="772"/>
      <c r="J2" s="772"/>
      <c r="K2" s="772"/>
      <c r="L2" s="772"/>
    </row>
    <row r="3" spans="1:13" ht="22.2" x14ac:dyDescent="0.4">
      <c r="B3" s="772" t="s">
        <v>242</v>
      </c>
      <c r="C3" s="772"/>
      <c r="D3" s="772"/>
      <c r="E3" s="772"/>
      <c r="F3" s="772"/>
      <c r="G3" s="772"/>
      <c r="H3" s="772"/>
      <c r="I3" s="772"/>
      <c r="J3" s="772"/>
      <c r="K3" s="772"/>
      <c r="L3" s="772"/>
    </row>
    <row r="4" spans="1:13" ht="22.2" x14ac:dyDescent="0.4">
      <c r="B4" s="290" t="s">
        <v>316</v>
      </c>
      <c r="C4" s="291"/>
      <c r="D4" s="291"/>
      <c r="E4" s="291"/>
      <c r="F4" s="291"/>
      <c r="G4" s="292"/>
      <c r="H4" s="292"/>
      <c r="I4" s="292"/>
      <c r="J4" s="773" t="s">
        <v>317</v>
      </c>
      <c r="K4" s="774"/>
      <c r="L4" s="775"/>
    </row>
    <row r="5" spans="1:13" ht="16.2" x14ac:dyDescent="0.25">
      <c r="A5" s="776" t="s">
        <v>243</v>
      </c>
      <c r="B5" s="777"/>
      <c r="C5" s="780" t="s">
        <v>244</v>
      </c>
      <c r="D5" s="780"/>
      <c r="E5" s="780"/>
      <c r="F5" s="781" t="s">
        <v>245</v>
      </c>
      <c r="G5" s="783" t="s">
        <v>246</v>
      </c>
      <c r="H5" s="784"/>
      <c r="I5" s="784"/>
      <c r="J5" s="784"/>
      <c r="K5" s="784"/>
      <c r="L5" s="785"/>
    </row>
    <row r="6" spans="1:13" ht="39.75" customHeight="1" x14ac:dyDescent="0.25">
      <c r="A6" s="778"/>
      <c r="B6" s="779"/>
      <c r="C6" s="287" t="s">
        <v>247</v>
      </c>
      <c r="D6" s="287" t="s">
        <v>248</v>
      </c>
      <c r="E6" s="287" t="s">
        <v>249</v>
      </c>
      <c r="F6" s="782"/>
      <c r="G6" s="293" t="s">
        <v>293</v>
      </c>
      <c r="H6" s="293" t="s">
        <v>294</v>
      </c>
      <c r="I6" s="293" t="s">
        <v>295</v>
      </c>
      <c r="J6" s="293" t="s">
        <v>296</v>
      </c>
      <c r="K6" s="293" t="s">
        <v>297</v>
      </c>
      <c r="L6" s="293" t="s">
        <v>298</v>
      </c>
    </row>
    <row r="7" spans="1:13" ht="22.2" x14ac:dyDescent="0.25">
      <c r="A7" s="766" t="s">
        <v>250</v>
      </c>
      <c r="B7" s="767"/>
      <c r="C7" s="287"/>
      <c r="D7" s="287"/>
      <c r="E7" s="287"/>
      <c r="F7" s="294"/>
      <c r="G7" s="786">
        <f>SUM(G8:L8)</f>
        <v>0</v>
      </c>
      <c r="H7" s="787"/>
      <c r="I7" s="787"/>
      <c r="J7" s="787"/>
      <c r="K7" s="787"/>
      <c r="L7" s="788"/>
    </row>
    <row r="8" spans="1:13" ht="16.2" x14ac:dyDescent="0.3">
      <c r="A8" s="766" t="s">
        <v>251</v>
      </c>
      <c r="B8" s="767"/>
      <c r="C8" s="295"/>
      <c r="D8" s="295"/>
      <c r="E8" s="295"/>
      <c r="F8" s="296"/>
      <c r="G8" s="297">
        <f>勾稽!D22</f>
        <v>0</v>
      </c>
      <c r="H8" s="297">
        <f>勾稽!D23</f>
        <v>-5</v>
      </c>
      <c r="I8" s="297">
        <f>勾稽!D24</f>
        <v>0</v>
      </c>
      <c r="J8" s="297">
        <f>勾稽!D25</f>
        <v>0</v>
      </c>
      <c r="K8" s="297">
        <f>勾稽!D26</f>
        <v>0</v>
      </c>
      <c r="L8" s="297">
        <f>勾稽!D27</f>
        <v>5</v>
      </c>
    </row>
    <row r="9" spans="1:13" ht="16.2" x14ac:dyDescent="0.3">
      <c r="A9" s="766" t="s">
        <v>252</v>
      </c>
      <c r="B9" s="767"/>
      <c r="C9" s="298"/>
      <c r="D9" s="298"/>
      <c r="E9" s="298"/>
      <c r="F9" s="296"/>
      <c r="G9" s="299">
        <f t="shared" ref="G9:J9" si="0">SUM(G10:G12)</f>
        <v>0</v>
      </c>
      <c r="H9" s="299">
        <f t="shared" si="0"/>
        <v>0</v>
      </c>
      <c r="I9" s="299">
        <f t="shared" si="0"/>
        <v>0</v>
      </c>
      <c r="J9" s="299">
        <f t="shared" si="0"/>
        <v>0</v>
      </c>
      <c r="K9" s="299"/>
      <c r="L9" s="299">
        <f>SUM(L10:L12)</f>
        <v>0</v>
      </c>
      <c r="M9" s="300"/>
    </row>
    <row r="10" spans="1:13" ht="16.2" x14ac:dyDescent="0.3">
      <c r="A10" s="330" t="s">
        <v>253</v>
      </c>
      <c r="B10" s="331"/>
      <c r="C10" s="298"/>
      <c r="D10" s="298"/>
      <c r="E10" s="298"/>
      <c r="F10" s="296"/>
      <c r="G10" s="301"/>
      <c r="H10" s="301"/>
      <c r="I10" s="301"/>
      <c r="J10" s="301"/>
      <c r="K10" s="301"/>
      <c r="L10" s="301"/>
      <c r="M10" s="300"/>
    </row>
    <row r="11" spans="1:13" ht="16.2" x14ac:dyDescent="0.3">
      <c r="A11" s="330" t="s">
        <v>254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2" x14ac:dyDescent="0.3">
      <c r="A12" s="330" t="s">
        <v>255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 x14ac:dyDescent="0.3">
      <c r="A13" s="764" t="s">
        <v>256</v>
      </c>
      <c r="B13" s="767"/>
      <c r="C13" s="298"/>
      <c r="D13" s="298"/>
      <c r="E13" s="298"/>
      <c r="F13" s="296"/>
      <c r="G13" s="302">
        <f t="shared" ref="G13:J13" si="1">SUM(G14:G33)</f>
        <v>0</v>
      </c>
      <c r="H13" s="302">
        <f t="shared" si="1"/>
        <v>0</v>
      </c>
      <c r="I13" s="302">
        <f t="shared" si="1"/>
        <v>0</v>
      </c>
      <c r="J13" s="302">
        <f t="shared" si="1"/>
        <v>0</v>
      </c>
      <c r="K13" s="302"/>
      <c r="L13" s="302">
        <f>SUM(L14:L33)</f>
        <v>0</v>
      </c>
    </row>
    <row r="14" spans="1:13" ht="16.2" x14ac:dyDescent="0.3">
      <c r="A14" s="330" t="s">
        <v>253</v>
      </c>
      <c r="B14" s="331"/>
      <c r="C14" s="303"/>
      <c r="D14" s="303"/>
      <c r="E14" s="303"/>
      <c r="F14" s="296"/>
      <c r="G14" s="304"/>
      <c r="H14" s="304"/>
      <c r="I14" s="304"/>
      <c r="J14" s="304"/>
      <c r="K14" s="304"/>
      <c r="L14" s="304"/>
    </row>
    <row r="15" spans="1:13" ht="16.2" x14ac:dyDescent="0.3">
      <c r="A15" s="330" t="s">
        <v>254</v>
      </c>
      <c r="B15" s="331"/>
      <c r="C15" s="303"/>
      <c r="D15" s="303"/>
      <c r="E15" s="303"/>
      <c r="F15" s="305"/>
      <c r="G15" s="304"/>
      <c r="H15" s="304"/>
      <c r="I15" s="304"/>
      <c r="J15" s="304"/>
      <c r="K15" s="304"/>
      <c r="L15" s="304"/>
    </row>
    <row r="16" spans="1:13" ht="16.2" x14ac:dyDescent="0.3">
      <c r="A16" s="330" t="s">
        <v>255</v>
      </c>
      <c r="B16" s="331"/>
      <c r="C16" s="303"/>
      <c r="D16" s="303"/>
      <c r="E16" s="303"/>
      <c r="F16" s="296"/>
      <c r="G16" s="304"/>
      <c r="H16" s="304"/>
      <c r="I16" s="304"/>
      <c r="J16" s="304"/>
      <c r="K16" s="304"/>
      <c r="L16" s="304"/>
    </row>
    <row r="17" spans="1:13" ht="16.2" x14ac:dyDescent="0.3">
      <c r="A17" s="330" t="s">
        <v>257</v>
      </c>
      <c r="B17" s="331"/>
      <c r="C17" s="303"/>
      <c r="D17" s="303"/>
      <c r="E17" s="303"/>
      <c r="F17" s="296"/>
      <c r="G17" s="304"/>
      <c r="H17" s="304"/>
      <c r="I17" s="304"/>
      <c r="J17" s="304"/>
      <c r="K17" s="304"/>
      <c r="L17" s="304"/>
      <c r="M17" s="288"/>
    </row>
    <row r="18" spans="1:13" ht="16.2" x14ac:dyDescent="0.3">
      <c r="A18" s="330" t="s">
        <v>258</v>
      </c>
      <c r="B18" s="331"/>
      <c r="C18" s="303"/>
      <c r="D18" s="303"/>
      <c r="E18" s="303"/>
      <c r="F18" s="296"/>
      <c r="G18" s="304"/>
      <c r="H18" s="304"/>
      <c r="I18" s="304"/>
      <c r="J18" s="304"/>
      <c r="K18" s="304"/>
      <c r="L18" s="304"/>
      <c r="M18" s="288"/>
    </row>
    <row r="19" spans="1:13" ht="16.2" x14ac:dyDescent="0.3">
      <c r="A19" s="330" t="s">
        <v>259</v>
      </c>
      <c r="B19" s="331"/>
      <c r="C19" s="303"/>
      <c r="D19" s="303"/>
      <c r="E19" s="303"/>
      <c r="F19" s="296"/>
      <c r="G19" s="304"/>
      <c r="H19" s="304"/>
      <c r="I19" s="304"/>
      <c r="J19" s="304"/>
      <c r="K19" s="304"/>
      <c r="L19" s="304"/>
      <c r="M19" s="288"/>
    </row>
    <row r="20" spans="1:13" ht="16.2" x14ac:dyDescent="0.3">
      <c r="A20" s="330" t="s">
        <v>260</v>
      </c>
      <c r="B20" s="331"/>
      <c r="C20" s="303"/>
      <c r="D20" s="303"/>
      <c r="E20" s="303"/>
      <c r="F20" s="296"/>
      <c r="G20" s="304"/>
      <c r="H20" s="304"/>
      <c r="I20" s="304"/>
      <c r="J20" s="304"/>
      <c r="K20" s="304"/>
      <c r="L20" s="304"/>
      <c r="M20" s="288"/>
    </row>
    <row r="21" spans="1:13" ht="16.2" x14ac:dyDescent="0.3">
      <c r="A21" s="330" t="s">
        <v>261</v>
      </c>
      <c r="B21" s="331"/>
      <c r="C21" s="303"/>
      <c r="D21" s="303"/>
      <c r="E21" s="303"/>
      <c r="F21" s="296"/>
      <c r="G21" s="304"/>
      <c r="H21" s="304"/>
      <c r="I21" s="304"/>
      <c r="J21" s="304"/>
      <c r="K21" s="304"/>
      <c r="L21" s="304"/>
      <c r="M21" s="288"/>
    </row>
    <row r="22" spans="1:13" ht="16.2" x14ac:dyDescent="0.3">
      <c r="A22" s="330" t="s">
        <v>262</v>
      </c>
      <c r="B22" s="331"/>
      <c r="C22" s="303"/>
      <c r="D22" s="303"/>
      <c r="E22" s="303"/>
      <c r="F22" s="296"/>
      <c r="G22" s="304"/>
      <c r="H22" s="304"/>
      <c r="I22" s="304"/>
      <c r="J22" s="304"/>
      <c r="K22" s="304"/>
      <c r="L22" s="304"/>
      <c r="M22" s="288"/>
    </row>
    <row r="23" spans="1:13" ht="16.2" x14ac:dyDescent="0.3">
      <c r="A23" s="330" t="s">
        <v>263</v>
      </c>
      <c r="B23" s="331"/>
      <c r="C23" s="303"/>
      <c r="D23" s="303"/>
      <c r="E23" s="303"/>
      <c r="F23" s="296"/>
      <c r="G23" s="304"/>
      <c r="H23" s="304"/>
      <c r="I23" s="304"/>
      <c r="J23" s="304"/>
      <c r="K23" s="304"/>
      <c r="L23" s="304"/>
      <c r="M23" s="288"/>
    </row>
    <row r="24" spans="1:13" ht="16.2" x14ac:dyDescent="0.3">
      <c r="A24" s="330" t="s">
        <v>264</v>
      </c>
      <c r="B24" s="331"/>
      <c r="C24" s="303"/>
      <c r="D24" s="303"/>
      <c r="E24" s="303"/>
      <c r="F24" s="296"/>
      <c r="G24" s="304"/>
      <c r="H24" s="304"/>
      <c r="I24" s="304"/>
      <c r="J24" s="304"/>
      <c r="K24" s="304"/>
      <c r="L24" s="304"/>
      <c r="M24" s="288"/>
    </row>
    <row r="25" spans="1:13" ht="16.2" x14ac:dyDescent="0.3">
      <c r="A25" s="330" t="s">
        <v>265</v>
      </c>
      <c r="B25" s="331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2" x14ac:dyDescent="0.3">
      <c r="A26" s="330" t="s">
        <v>266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2" x14ac:dyDescent="0.3">
      <c r="A27" s="330" t="s">
        <v>267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2" x14ac:dyDescent="0.3">
      <c r="A28" s="330" t="s">
        <v>268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2" x14ac:dyDescent="0.3">
      <c r="A29" s="330" t="s">
        <v>269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 x14ac:dyDescent="0.3">
      <c r="A30" s="330" t="s">
        <v>270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 x14ac:dyDescent="0.3">
      <c r="A31" s="330" t="s">
        <v>271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 x14ac:dyDescent="0.3">
      <c r="A32" s="330" t="s">
        <v>272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6" ht="16.2" x14ac:dyDescent="0.3">
      <c r="A33" s="330" t="s">
        <v>273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</row>
    <row r="34" spans="1:16" ht="16.2" x14ac:dyDescent="0.3">
      <c r="A34" s="764" t="s">
        <v>288</v>
      </c>
      <c r="B34" s="765"/>
      <c r="C34" s="306"/>
      <c r="D34" s="306"/>
      <c r="E34" s="306"/>
      <c r="F34" s="296"/>
      <c r="G34" s="307">
        <f t="shared" ref="G34:J34" si="2">SUM(G35:G37)</f>
        <v>0</v>
      </c>
      <c r="H34" s="307">
        <f t="shared" si="2"/>
        <v>0</v>
      </c>
      <c r="I34" s="307">
        <f t="shared" si="2"/>
        <v>0</v>
      </c>
      <c r="J34" s="307">
        <f t="shared" si="2"/>
        <v>0</v>
      </c>
      <c r="K34" s="307"/>
      <c r="L34" s="307">
        <f>SUM(L35:L37)</f>
        <v>0</v>
      </c>
      <c r="N34" s="308"/>
    </row>
    <row r="35" spans="1:16" ht="16.2" x14ac:dyDescent="0.3">
      <c r="A35" s="330" t="s">
        <v>289</v>
      </c>
      <c r="B35" s="331"/>
      <c r="C35" s="309"/>
      <c r="D35" s="309"/>
      <c r="E35" s="309"/>
      <c r="F35" s="310"/>
      <c r="G35" s="304"/>
      <c r="H35" s="304"/>
      <c r="I35" s="304"/>
      <c r="J35" s="304"/>
      <c r="K35" s="304"/>
      <c r="L35" s="304"/>
      <c r="N35" s="311"/>
    </row>
    <row r="36" spans="1:16" ht="16.2" x14ac:dyDescent="0.3">
      <c r="A36" s="330" t="s">
        <v>254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6" ht="16.2" x14ac:dyDescent="0.3">
      <c r="A37" s="330" t="s">
        <v>255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6" ht="16.2" x14ac:dyDescent="0.3">
      <c r="A38" s="764" t="s">
        <v>290</v>
      </c>
      <c r="B38" s="765"/>
      <c r="C38" s="306"/>
      <c r="D38" s="306"/>
      <c r="E38" s="306"/>
      <c r="F38" s="296"/>
      <c r="G38" s="307">
        <f t="shared" ref="G38:J38" si="3">SUM(G39:G41)</f>
        <v>0</v>
      </c>
      <c r="H38" s="307">
        <f t="shared" si="3"/>
        <v>0</v>
      </c>
      <c r="I38" s="307">
        <f t="shared" si="3"/>
        <v>0</v>
      </c>
      <c r="J38" s="307">
        <f t="shared" si="3"/>
        <v>0</v>
      </c>
      <c r="K38" s="307"/>
      <c r="L38" s="307">
        <f>SUM(L39:L41)</f>
        <v>0</v>
      </c>
      <c r="N38" s="308"/>
    </row>
    <row r="39" spans="1:16" ht="16.2" x14ac:dyDescent="0.3">
      <c r="A39" s="330" t="s">
        <v>289</v>
      </c>
      <c r="B39" s="331"/>
      <c r="C39" s="309"/>
      <c r="D39" s="309"/>
      <c r="E39" s="309"/>
      <c r="F39" s="310"/>
      <c r="G39" s="304"/>
      <c r="H39" s="304"/>
      <c r="I39" s="304"/>
      <c r="J39" s="304"/>
      <c r="K39" s="304"/>
      <c r="L39" s="304"/>
      <c r="N39" s="311"/>
    </row>
    <row r="40" spans="1:16" ht="16.2" x14ac:dyDescent="0.3">
      <c r="A40" s="330" t="s">
        <v>254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6" ht="16.2" x14ac:dyDescent="0.3">
      <c r="A41" s="330" t="s">
        <v>255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6" ht="16.2" x14ac:dyDescent="0.3">
      <c r="A42" s="766" t="s">
        <v>291</v>
      </c>
      <c r="B42" s="767"/>
      <c r="C42" s="298"/>
      <c r="D42" s="298"/>
      <c r="E42" s="298"/>
      <c r="F42" s="296"/>
      <c r="G42" s="312"/>
      <c r="H42" s="312"/>
      <c r="I42" s="312"/>
      <c r="J42" s="312"/>
      <c r="K42" s="312"/>
      <c r="L42" s="312"/>
      <c r="M42" s="300"/>
      <c r="N42" s="313"/>
      <c r="O42" s="314"/>
    </row>
    <row r="43" spans="1:16" ht="22.2" x14ac:dyDescent="0.4">
      <c r="A43" s="766" t="s">
        <v>292</v>
      </c>
      <c r="B43" s="767"/>
      <c r="C43" s="298"/>
      <c r="D43" s="298"/>
      <c r="E43" s="298"/>
      <c r="F43" s="296"/>
      <c r="G43" s="768">
        <f>SUM(G42:L42)</f>
        <v>0</v>
      </c>
      <c r="H43" s="769"/>
      <c r="I43" s="769"/>
      <c r="J43" s="769"/>
      <c r="K43" s="769"/>
      <c r="L43" s="770"/>
      <c r="M43" s="300"/>
      <c r="N43" s="313"/>
      <c r="O43" s="314"/>
    </row>
    <row r="44" spans="1:16" ht="16.2" x14ac:dyDescent="0.3">
      <c r="B44" s="315"/>
      <c r="C44" s="291"/>
      <c r="D44" s="291"/>
      <c r="E44" s="291"/>
      <c r="F44" s="291"/>
      <c r="G44" s="292"/>
      <c r="H44" s="292"/>
      <c r="I44" s="292"/>
      <c r="J44" s="292"/>
      <c r="K44" s="292"/>
      <c r="L44" s="292"/>
      <c r="N44" s="316"/>
      <c r="O44" s="317"/>
    </row>
    <row r="45" spans="1:16" ht="16.2" x14ac:dyDescent="0.3">
      <c r="B45" s="315" t="s">
        <v>274</v>
      </c>
      <c r="C45" s="771" t="s">
        <v>275</v>
      </c>
      <c r="D45" s="771"/>
      <c r="E45" s="771"/>
      <c r="F45" s="771"/>
      <c r="G45" s="318"/>
      <c r="H45" s="318" t="s">
        <v>276</v>
      </c>
      <c r="I45" s="318"/>
      <c r="J45" s="318"/>
      <c r="K45" s="318"/>
      <c r="L45" s="292"/>
      <c r="N45" s="319"/>
      <c r="O45" s="317"/>
    </row>
    <row r="46" spans="1:16" ht="16.2" x14ac:dyDescent="0.3">
      <c r="B46" s="315"/>
      <c r="C46" s="320"/>
      <c r="D46" s="320"/>
      <c r="E46" s="320"/>
      <c r="F46" s="320"/>
      <c r="G46" s="324">
        <f>G8+G9+G13-G34-G38</f>
        <v>0</v>
      </c>
      <c r="H46" s="324">
        <f t="shared" ref="H46:L46" si="4">H8+H9+H13-H34-H38</f>
        <v>-5</v>
      </c>
      <c r="I46" s="324">
        <f t="shared" si="4"/>
        <v>0</v>
      </c>
      <c r="J46" s="324">
        <f t="shared" si="4"/>
        <v>0</v>
      </c>
      <c r="K46" s="324"/>
      <c r="L46" s="324">
        <f t="shared" si="4"/>
        <v>5</v>
      </c>
      <c r="N46" s="319"/>
      <c r="O46" s="317"/>
    </row>
    <row r="47" spans="1:16" ht="16.2" x14ac:dyDescent="0.3">
      <c r="G47" s="325">
        <f>G42-G46</f>
        <v>0</v>
      </c>
      <c r="H47" s="325">
        <f t="shared" ref="H47:L47" si="5">H42-H46</f>
        <v>5</v>
      </c>
      <c r="I47" s="325">
        <f t="shared" si="5"/>
        <v>0</v>
      </c>
      <c r="J47" s="325">
        <f t="shared" si="5"/>
        <v>0</v>
      </c>
      <c r="K47" s="325"/>
      <c r="L47" s="325">
        <f t="shared" si="5"/>
        <v>-5</v>
      </c>
      <c r="N47" s="322"/>
      <c r="O47" s="323"/>
      <c r="P47" s="323"/>
    </row>
    <row r="48" spans="1:16" ht="16.2" x14ac:dyDescent="0.3">
      <c r="N48" s="323"/>
      <c r="O48" s="323"/>
      <c r="P48" s="323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 x14ac:dyDescent="0.25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 x14ac:dyDescent="0.25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 x14ac:dyDescent="0.25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 x14ac:dyDescent="0.25">
      <c r="A1" s="567" t="s">
        <v>149</v>
      </c>
      <c r="B1" s="567"/>
    </row>
    <row r="2" spans="1:8" x14ac:dyDescent="0.25">
      <c r="A2" s="568" t="s">
        <v>150</v>
      </c>
      <c r="B2" s="567"/>
    </row>
    <row r="3" spans="1:8" x14ac:dyDescent="0.25">
      <c r="A3" s="567" t="s">
        <v>151</v>
      </c>
      <c r="B3" s="567"/>
    </row>
    <row r="4" spans="1:8" ht="27.6" x14ac:dyDescent="0.25">
      <c r="A4" s="567" t="s">
        <v>152</v>
      </c>
      <c r="B4" s="567"/>
      <c r="C4" s="184" t="s">
        <v>184</v>
      </c>
      <c r="D4" s="196" t="s">
        <v>185</v>
      </c>
      <c r="E4" s="164" t="s">
        <v>187</v>
      </c>
      <c r="F4" s="196" t="s">
        <v>186</v>
      </c>
    </row>
    <row r="5" spans="1:8" x14ac:dyDescent="0.25">
      <c r="A5" s="568" t="s">
        <v>153</v>
      </c>
      <c r="B5" s="567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 x14ac:dyDescent="0.3">
      <c r="A6" s="565" t="s">
        <v>154</v>
      </c>
      <c r="B6" s="566"/>
      <c r="C6" s="183" t="s">
        <v>168</v>
      </c>
      <c r="D6" s="198">
        <f>VLOOKUP("銀行存款-縣庫存款",平衡!$E$13:$H$47,4,0)+VLOOKUP("零用及週轉金",平衡!$D$13:$H$47,5,0)</f>
        <v>1514533</v>
      </c>
      <c r="E6" s="198" t="e">
        <f>VLOOKUP("基金餘額",平衡!$K$13:$U$70,7,0)+C5</f>
        <v>#N/A</v>
      </c>
      <c r="F6" s="169" t="s">
        <v>167</v>
      </c>
    </row>
    <row r="7" spans="1:8" ht="14.4" thickBot="1" x14ac:dyDescent="0.3">
      <c r="A7" s="565" t="s">
        <v>155</v>
      </c>
      <c r="B7" s="566"/>
      <c r="C7" s="183" t="s">
        <v>169</v>
      </c>
      <c r="D7" s="198">
        <f>VLOOKUP("銀行存款-專戶存款",平衡!$E$13:$H$47,4,0)+VLOOKUP("其他預付款",平衡!$D$13:$H$47,5,0)</f>
        <v>59178429</v>
      </c>
      <c r="E7" s="198" t="e">
        <f>VLOOKUP("應付代收款",平衡!$N$13:$U$47,7,0)+VLOOKUP("存入保證金",平衡!$N$13:$U$47,7,0)</f>
        <v>#N/A</v>
      </c>
      <c r="F7" s="169" t="s">
        <v>170</v>
      </c>
    </row>
    <row r="8" spans="1:8" ht="20.399999999999999" thickBot="1" x14ac:dyDescent="0.3">
      <c r="A8" s="80" t="s">
        <v>129</v>
      </c>
      <c r="B8" s="81" t="s">
        <v>130</v>
      </c>
      <c r="C8" s="183" t="s">
        <v>166</v>
      </c>
      <c r="D8" s="199">
        <f>VLOOKUP("合計：",平衡!$A$13:$H$47,8,0)</f>
        <v>103580234</v>
      </c>
      <c r="E8" s="199" t="e">
        <f>VLOOKUP("合計：",平衡!$K$13:$U$47,10,0)</f>
        <v>#N/A</v>
      </c>
    </row>
    <row r="9" spans="1:8" ht="16.8" thickBot="1" x14ac:dyDescent="0.3">
      <c r="A9" s="76" t="s">
        <v>131</v>
      </c>
      <c r="B9" s="77" t="s">
        <v>132</v>
      </c>
      <c r="C9" s="183" t="s">
        <v>173</v>
      </c>
      <c r="D9" s="199">
        <f>VLOOKUP("基金用途",餘絀表!$C$16:$T$44,18,0)</f>
        <v>6972909</v>
      </c>
      <c r="E9" s="199">
        <f>VLOOKUP("合       計",各項費用!$D$12:$Q$86,14)</f>
        <v>6972909</v>
      </c>
      <c r="F9" s="199">
        <f>縣庫對帳!P3</f>
        <v>6972909</v>
      </c>
    </row>
    <row r="10" spans="1:8" ht="33" thickBot="1" x14ac:dyDescent="0.3">
      <c r="A10" s="76" t="s">
        <v>133</v>
      </c>
      <c r="B10" s="77" t="s">
        <v>134</v>
      </c>
      <c r="C10" s="183" t="s">
        <v>334</v>
      </c>
      <c r="D10" s="199">
        <f>VLOOKUP("基金來源",餘絀表!$C$16:$T$44,18,0)</f>
        <v>6143000</v>
      </c>
      <c r="E10" s="199">
        <f>縣庫對帳!N3</f>
        <v>6143000</v>
      </c>
      <c r="F10" s="199"/>
      <c r="G10" s="199"/>
      <c r="H10" s="164" t="e">
        <f>D13-E13</f>
        <v>#N/A</v>
      </c>
    </row>
    <row r="11" spans="1:8" ht="27" customHeight="1" x14ac:dyDescent="0.25">
      <c r="A11" s="569" t="s">
        <v>29</v>
      </c>
      <c r="B11" s="569" t="s">
        <v>135</v>
      </c>
      <c r="C11" s="183" t="s">
        <v>345</v>
      </c>
      <c r="D11" s="199">
        <f>VLOOKUP("政府撥入收入",餘絀表!$C$16:$T$44,18,0)</f>
        <v>6143000</v>
      </c>
      <c r="E11" s="199"/>
      <c r="F11" s="199">
        <f>VLOOKUP("政府撥入收入",收支!$B$14:$N$61,13,0)</f>
        <v>6143000</v>
      </c>
      <c r="G11" s="199">
        <f>VLOOKUP("政府撥入收入",對照表!$B$1:$E$28,4,0)</f>
        <v>6143000</v>
      </c>
    </row>
    <row r="12" spans="1:8" ht="27.6" x14ac:dyDescent="0.25">
      <c r="A12" s="572"/>
      <c r="B12" s="572"/>
      <c r="C12" s="183" t="s">
        <v>346</v>
      </c>
      <c r="D12" s="199"/>
      <c r="E12" s="199"/>
      <c r="F12" s="199">
        <f>VLOOKUP("收入",收支!$A$14:$N$61,14,0)</f>
        <v>9027899</v>
      </c>
      <c r="G12" s="199">
        <f>VLOOKUP("基金來源",對照表!$A$1:$E$28,5,0)</f>
        <v>9027899</v>
      </c>
    </row>
    <row r="13" spans="1:8" x14ac:dyDescent="0.25">
      <c r="A13" s="572"/>
      <c r="B13" s="572"/>
      <c r="C13" s="183" t="s">
        <v>331</v>
      </c>
      <c r="D13" s="199" t="e">
        <f>IF(封面!J10=12,0,VLOOKUP($G$13,平衡!$N$13:$U$47,7,0))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1870124</v>
      </c>
      <c r="G13" s="197" t="e">
        <f>IF(E13&gt;=0,"本期賸餘","本期短絀")</f>
        <v>#N/A</v>
      </c>
    </row>
    <row r="14" spans="1:8" x14ac:dyDescent="0.25">
      <c r="A14" s="572"/>
      <c r="B14" s="572"/>
      <c r="C14" s="183" t="s">
        <v>332</v>
      </c>
      <c r="D14" s="199">
        <f>IF(封面!J10=12,0,VLOOKUP("本期賸餘(短絀－)",餘絀表!$C$16:$T$47,18,0))</f>
        <v>-829909</v>
      </c>
      <c r="E14" s="199"/>
      <c r="F14" s="199">
        <f>IF(封面!K11=12,0,VLOOKUP("本期賸餘(短絀)",對照表!$A$1:$C$28,3,0))</f>
        <v>-829909</v>
      </c>
      <c r="G14" s="197"/>
    </row>
    <row r="15" spans="1:8" x14ac:dyDescent="0.25">
      <c r="A15" s="572"/>
      <c r="B15" s="572"/>
      <c r="C15" s="183" t="s">
        <v>333</v>
      </c>
      <c r="D15" s="199">
        <f>IF(封面!J12=12,0,VLOOKUP($G$15,平衡!$K$13:$U$47,10,0))</f>
        <v>44401805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333</v>
      </c>
    </row>
    <row r="16" spans="1:8" ht="14.4" thickBot="1" x14ac:dyDescent="0.3">
      <c r="A16" s="573"/>
      <c r="B16" s="573"/>
      <c r="C16" s="183" t="s">
        <v>158</v>
      </c>
      <c r="D16" s="199">
        <f>VLOOKUP("國民教育計畫",主要業務!$B$15:$J$24,7,0)</f>
        <v>6972909</v>
      </c>
      <c r="E16" s="199">
        <f>VLOOKUP("國民教育計畫",餘絀表!$C$16:$T$44,9,0)</f>
        <v>0</v>
      </c>
    </row>
    <row r="17" spans="1:8" x14ac:dyDescent="0.25">
      <c r="A17" s="569" t="s">
        <v>147</v>
      </c>
      <c r="B17" s="569" t="s">
        <v>136</v>
      </c>
      <c r="C17" s="183" t="s">
        <v>159</v>
      </c>
      <c r="D17" s="199">
        <f>主要業務!H17</f>
        <v>6972909</v>
      </c>
      <c r="E17" s="199">
        <f>VLOOKUP("國民教育計畫",餘絀表!$C$16:$T$44,18,0)</f>
        <v>6972909</v>
      </c>
    </row>
    <row r="18" spans="1:8" x14ac:dyDescent="0.25">
      <c r="A18" s="570"/>
      <c r="B18" s="572"/>
      <c r="C18" s="183" t="s">
        <v>160</v>
      </c>
      <c r="D18" s="199">
        <f>主要業務!H20</f>
        <v>0</v>
      </c>
      <c r="E18" s="199" t="e">
        <f>VLOOKUP("建築及設備計畫",餘絀表!$C$16:$T$44,9,0)</f>
        <v>#N/A</v>
      </c>
    </row>
    <row r="19" spans="1:8" x14ac:dyDescent="0.25">
      <c r="A19" s="570"/>
      <c r="B19" s="572"/>
      <c r="C19" s="183" t="s">
        <v>161</v>
      </c>
      <c r="D19" s="199">
        <f>主要業務!H22</f>
        <v>0</v>
      </c>
      <c r="E19" s="199" t="e">
        <f>VLOOKUP("建築及設備計畫",餘絀表!$C$16:$T$44,18,0)</f>
        <v>#N/A</v>
      </c>
    </row>
    <row r="20" spans="1:8" x14ac:dyDescent="0.25">
      <c r="A20" s="570"/>
      <c r="B20" s="572"/>
      <c r="C20" s="183" t="s">
        <v>335</v>
      </c>
      <c r="D20" s="199">
        <f>VLOOKUP("用人費用",各項費用!$F$12:$Q$100,12,0)</f>
        <v>6896399</v>
      </c>
      <c r="E20" s="199">
        <f>VLOOKUP("人事支出",收支!$B$14:$N$61,13,0)</f>
        <v>6896399</v>
      </c>
      <c r="F20" s="199">
        <f>VLOOKUP("用人費用",對照表!$B$1:$E$28,4,0)</f>
        <v>6896399</v>
      </c>
    </row>
    <row r="21" spans="1:8" x14ac:dyDescent="0.25">
      <c r="A21" s="570"/>
      <c r="B21" s="572"/>
      <c r="C21" s="183" t="s">
        <v>336</v>
      </c>
      <c r="D21" s="199">
        <f>IF(E21=0,0,資產!F10+H21)</f>
        <v>646028</v>
      </c>
      <c r="E21" s="199">
        <f>VLOOKUP("折舊、折耗及攤銷",收支!$B$14:$N$61,13,0)</f>
        <v>184866</v>
      </c>
      <c r="F21" s="199">
        <f>VLOOKUP("折舊、折耗及攤銷",對照表!$H$1:$J$28,3,0)</f>
        <v>184866</v>
      </c>
      <c r="G21" s="460" t="s">
        <v>347</v>
      </c>
      <c r="H21" s="461">
        <f>464532-4645</f>
        <v>459887</v>
      </c>
    </row>
    <row r="22" spans="1:8" x14ac:dyDescent="0.25">
      <c r="A22" s="570"/>
      <c r="B22" s="572"/>
      <c r="C22" s="183" t="s">
        <v>306</v>
      </c>
      <c r="D22" s="198">
        <v>0</v>
      </c>
      <c r="E22" s="198"/>
      <c r="F22" s="168"/>
    </row>
    <row r="23" spans="1:8" x14ac:dyDescent="0.25">
      <c r="A23" s="570"/>
      <c r="B23" s="572"/>
      <c r="C23" s="183" t="s">
        <v>307</v>
      </c>
      <c r="D23" s="198">
        <f>D28-D22-D24-D25-D26-D27</f>
        <v>-5</v>
      </c>
      <c r="E23" s="198"/>
      <c r="F23" s="168" t="s">
        <v>308</v>
      </c>
    </row>
    <row r="24" spans="1:8" x14ac:dyDescent="0.25">
      <c r="A24" s="570"/>
      <c r="B24" s="572"/>
      <c r="C24" s="183" t="s">
        <v>309</v>
      </c>
      <c r="D24" s="198"/>
      <c r="E24" s="198"/>
      <c r="F24" s="168" t="s">
        <v>310</v>
      </c>
    </row>
    <row r="25" spans="1:8" x14ac:dyDescent="0.25">
      <c r="A25" s="570"/>
      <c r="B25" s="572"/>
      <c r="C25" s="183" t="s">
        <v>311</v>
      </c>
      <c r="D25" s="198">
        <v>0</v>
      </c>
      <c r="E25" s="198"/>
      <c r="F25" s="168"/>
    </row>
    <row r="26" spans="1:8" ht="14.4" thickBot="1" x14ac:dyDescent="0.3">
      <c r="A26" s="571"/>
      <c r="B26" s="573"/>
      <c r="C26" s="183" t="s">
        <v>312</v>
      </c>
      <c r="D26" s="198"/>
      <c r="E26" s="198"/>
      <c r="F26" s="168"/>
      <c r="H26" s="166"/>
    </row>
    <row r="27" spans="1:8" ht="33" thickBot="1" x14ac:dyDescent="0.3">
      <c r="A27" s="76" t="s">
        <v>137</v>
      </c>
      <c r="B27" s="77" t="s">
        <v>148</v>
      </c>
      <c r="C27" s="183" t="s">
        <v>313</v>
      </c>
      <c r="D27" s="198">
        <v>5</v>
      </c>
      <c r="E27" s="198"/>
      <c r="F27" s="168"/>
    </row>
    <row r="28" spans="1:8" ht="33" thickBot="1" x14ac:dyDescent="0.3">
      <c r="A28" s="76" t="s">
        <v>71</v>
      </c>
      <c r="B28" s="77" t="s">
        <v>138</v>
      </c>
      <c r="C28" s="183" t="s">
        <v>314</v>
      </c>
      <c r="D28" s="198"/>
      <c r="E28" s="198"/>
      <c r="F28" s="168" t="s">
        <v>315</v>
      </c>
    </row>
    <row r="29" spans="1:8" ht="16.8" thickBot="1" x14ac:dyDescent="0.3">
      <c r="A29" s="76" t="s">
        <v>139</v>
      </c>
      <c r="B29" s="77" t="s">
        <v>140</v>
      </c>
      <c r="D29" s="186"/>
      <c r="E29" s="186"/>
    </row>
    <row r="30" spans="1:8" x14ac:dyDescent="0.25">
      <c r="A30" s="569" t="s">
        <v>141</v>
      </c>
      <c r="B30" s="569" t="s">
        <v>142</v>
      </c>
      <c r="D30" s="199"/>
      <c r="E30" s="199"/>
      <c r="F30" s="186"/>
    </row>
    <row r="31" spans="1:8" x14ac:dyDescent="0.25">
      <c r="A31" s="572"/>
      <c r="B31" s="572"/>
      <c r="D31" s="199"/>
      <c r="E31" s="199"/>
      <c r="F31" s="186"/>
    </row>
    <row r="32" spans="1:8" ht="14.4" thickBot="1" x14ac:dyDescent="0.3">
      <c r="A32" s="571"/>
      <c r="B32" s="571"/>
      <c r="D32" s="199"/>
      <c r="E32" s="199"/>
      <c r="F32" s="186"/>
    </row>
    <row r="33" spans="1:2" ht="14.4" thickBot="1" x14ac:dyDescent="0.3">
      <c r="A33" s="200"/>
      <c r="B33" s="200"/>
    </row>
    <row r="34" spans="1:2" ht="14.4" thickBot="1" x14ac:dyDescent="0.3">
      <c r="A34" s="200"/>
      <c r="B34" s="200"/>
    </row>
    <row r="35" spans="1:2" ht="14.4" thickBot="1" x14ac:dyDescent="0.3">
      <c r="A35" s="200"/>
      <c r="B35" s="200"/>
    </row>
    <row r="36" spans="1:2" ht="20.399999999999999" thickBot="1" x14ac:dyDescent="0.3">
      <c r="A36" s="75"/>
      <c r="B36" s="75"/>
    </row>
    <row r="37" spans="1:2" ht="20.399999999999999" thickBot="1" x14ac:dyDescent="0.3">
      <c r="A37" s="78" t="s">
        <v>129</v>
      </c>
      <c r="B37" s="79" t="s">
        <v>143</v>
      </c>
    </row>
    <row r="38" spans="1:2" ht="16.8" thickBot="1" x14ac:dyDescent="0.3">
      <c r="A38" s="152" t="s">
        <v>144</v>
      </c>
      <c r="B38" s="77" t="s">
        <v>164</v>
      </c>
    </row>
    <row r="39" spans="1:2" ht="33" thickBot="1" x14ac:dyDescent="0.3">
      <c r="A39" s="152" t="s">
        <v>131</v>
      </c>
      <c r="B39" s="77" t="s">
        <v>165</v>
      </c>
    </row>
    <row r="40" spans="1:2" ht="16.8" thickBot="1" x14ac:dyDescent="0.3">
      <c r="A40" s="152" t="s">
        <v>145</v>
      </c>
      <c r="B40" s="77" t="s">
        <v>146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77" priority="71" stopIfTrue="1">
      <formula>$D$16&lt;&gt;$E$16</formula>
    </cfRule>
  </conditionalFormatting>
  <conditionalFormatting sqref="D32:E32">
    <cfRule type="expression" dxfId="76" priority="64" stopIfTrue="1">
      <formula>$D$32&lt;&gt;$E$32</formula>
    </cfRule>
  </conditionalFormatting>
  <conditionalFormatting sqref="D17:E17">
    <cfRule type="expression" dxfId="75" priority="62" stopIfTrue="1">
      <formula>$D17&lt;&gt;$E17</formula>
    </cfRule>
  </conditionalFormatting>
  <conditionalFormatting sqref="D18:E18 E19">
    <cfRule type="expression" dxfId="74" priority="61" stopIfTrue="1">
      <formula>$D$18&lt;&gt;$E$18</formula>
    </cfRule>
  </conditionalFormatting>
  <conditionalFormatting sqref="E28">
    <cfRule type="expression" dxfId="73" priority="55" stopIfTrue="1">
      <formula>$D$30&lt;&gt;$E$30</formula>
    </cfRule>
  </conditionalFormatting>
  <conditionalFormatting sqref="E29">
    <cfRule type="expression" dxfId="72" priority="54" stopIfTrue="1">
      <formula>$F$31&lt;&gt;0</formula>
    </cfRule>
  </conditionalFormatting>
  <conditionalFormatting sqref="E30">
    <cfRule type="expression" dxfId="71" priority="51" stopIfTrue="1">
      <formula>$D$30&lt;&gt;$E$30</formula>
    </cfRule>
  </conditionalFormatting>
  <conditionalFormatting sqref="E31">
    <cfRule type="expression" dxfId="70" priority="50" stopIfTrue="1">
      <formula>$F$31&lt;&gt;0</formula>
    </cfRule>
  </conditionalFormatting>
  <conditionalFormatting sqref="D27 D22:E23">
    <cfRule type="expression" dxfId="69" priority="48" stopIfTrue="1">
      <formula>$D23&lt;&gt;$E23</formula>
    </cfRule>
  </conditionalFormatting>
  <conditionalFormatting sqref="E28">
    <cfRule type="expression" dxfId="68" priority="47" stopIfTrue="1">
      <formula>$D$30&lt;&gt;$E$30</formula>
    </cfRule>
  </conditionalFormatting>
  <conditionalFormatting sqref="E28">
    <cfRule type="expression" dxfId="67" priority="46" stopIfTrue="1">
      <formula>$D28&lt;&gt;$E28</formula>
    </cfRule>
  </conditionalFormatting>
  <conditionalFormatting sqref="D28">
    <cfRule type="expression" dxfId="66" priority="45" stopIfTrue="1">
      <formula>$D28&lt;&gt;$E28</formula>
    </cfRule>
  </conditionalFormatting>
  <conditionalFormatting sqref="D24:D26">
    <cfRule type="expression" dxfId="65" priority="44" stopIfTrue="1">
      <formula>$D24&lt;&gt;$E24</formula>
    </cfRule>
  </conditionalFormatting>
  <conditionalFormatting sqref="D27">
    <cfRule type="expression" dxfId="64" priority="43" stopIfTrue="1">
      <formula>$D27&lt;&gt;$E27</formula>
    </cfRule>
  </conditionalFormatting>
  <conditionalFormatting sqref="D14 F14:F15">
    <cfRule type="expression" dxfId="63" priority="42">
      <formula>$D$14&lt;&gt;$F$14</formula>
    </cfRule>
  </conditionalFormatting>
  <conditionalFormatting sqref="F15">
    <cfRule type="expression" dxfId="62" priority="34">
      <formula>$E$15&lt;&gt;$F$15</formula>
    </cfRule>
    <cfRule type="expression" dxfId="61" priority="35">
      <formula>$D$15&lt;&gt;$F$15</formula>
    </cfRule>
    <cfRule type="expression" dxfId="60" priority="40">
      <formula>$D$14&lt;&gt;$F$14</formula>
    </cfRule>
  </conditionalFormatting>
  <conditionalFormatting sqref="D15">
    <cfRule type="expression" dxfId="59" priority="38">
      <formula>$D$15&lt;&gt;$F$15</formula>
    </cfRule>
    <cfRule type="expression" dxfId="58" priority="39">
      <formula>$D$15&lt;&gt;$E$15</formula>
    </cfRule>
  </conditionalFormatting>
  <conditionalFormatting sqref="E15">
    <cfRule type="expression" dxfId="57" priority="36">
      <formula>$E$15&lt;&gt;$F$15</formula>
    </cfRule>
    <cfRule type="expression" dxfId="56" priority="37">
      <formula>$D$15&lt;&gt;$E$15</formula>
    </cfRule>
  </conditionalFormatting>
  <conditionalFormatting sqref="D7:E7">
    <cfRule type="expression" dxfId="55" priority="33">
      <formula>$D$7&lt;&gt;$E$7</formula>
    </cfRule>
  </conditionalFormatting>
  <conditionalFormatting sqref="D8:E8">
    <cfRule type="expression" dxfId="54" priority="32">
      <formula>$D$8&lt;&gt;$E$8</formula>
    </cfRule>
  </conditionalFormatting>
  <conditionalFormatting sqref="E16:E17">
    <cfRule type="expression" dxfId="53" priority="74" stopIfTrue="1">
      <formula>#REF!&lt;&gt;#REF!</formula>
    </cfRule>
  </conditionalFormatting>
  <conditionalFormatting sqref="E18:E19">
    <cfRule type="expression" dxfId="52" priority="95" stopIfTrue="1">
      <formula>#REF!&lt;&gt;#REF!</formula>
    </cfRule>
  </conditionalFormatting>
  <conditionalFormatting sqref="E6:E7">
    <cfRule type="expression" dxfId="51" priority="97" stopIfTrue="1">
      <formula>$D13&lt;&gt;$F13</formula>
    </cfRule>
  </conditionalFormatting>
  <conditionalFormatting sqref="D20:F20">
    <cfRule type="expression" dxfId="50" priority="16">
      <formula>$D$20&lt;&gt;$E$20</formula>
    </cfRule>
  </conditionalFormatting>
  <conditionalFormatting sqref="D20:F20">
    <cfRule type="expression" dxfId="49" priority="15">
      <formula>$E$20&lt;&gt;$F$20</formula>
    </cfRule>
  </conditionalFormatting>
  <conditionalFormatting sqref="D21:F21">
    <cfRule type="expression" dxfId="48" priority="10">
      <formula>$D$21&lt;&gt;$E$21</formula>
    </cfRule>
  </conditionalFormatting>
  <conditionalFormatting sqref="D21:F21">
    <cfRule type="expression" dxfId="47" priority="9">
      <formula>$D$21&lt;&gt;$F$21</formula>
    </cfRule>
  </conditionalFormatting>
  <conditionalFormatting sqref="D9:F9">
    <cfRule type="expression" dxfId="46" priority="6">
      <formula>$D$9&lt;&gt;$F$9</formula>
    </cfRule>
    <cfRule type="expression" dxfId="45" priority="7">
      <formula>$D$9&lt;&gt;$E$9</formula>
    </cfRule>
  </conditionalFormatting>
  <conditionalFormatting sqref="D10:G10">
    <cfRule type="expression" dxfId="44" priority="3">
      <formula>$D$10&lt;&gt;$E$10</formula>
    </cfRule>
  </conditionalFormatting>
  <conditionalFormatting sqref="F12:G12">
    <cfRule type="expression" dxfId="43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 x14ac:dyDescent="0.3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 x14ac:dyDescent="0.4">
      <c r="A1" s="793" t="s">
        <v>88</v>
      </c>
      <c r="B1" s="794"/>
      <c r="C1" s="794"/>
      <c r="D1" s="794"/>
      <c r="E1" s="794"/>
      <c r="F1" s="794"/>
      <c r="G1" s="794"/>
      <c r="H1" s="794"/>
      <c r="I1" s="794"/>
      <c r="J1" s="794"/>
      <c r="K1" s="794"/>
      <c r="L1" s="794"/>
      <c r="M1" s="794"/>
      <c r="N1" s="794"/>
      <c r="O1" s="794"/>
      <c r="P1" s="794"/>
      <c r="Q1" s="794"/>
      <c r="R1" s="795"/>
    </row>
    <row r="2" spans="1:85" x14ac:dyDescent="0.3">
      <c r="A2" s="796" t="str">
        <f>"茲列出 貴機關"&amp;封面!H10&amp;封面!J10&amp;"01至"&amp;封面!H10&amp;封面!J10&amp;封面!O10&amp;"歲出分配餘額暨支付明細，送請詳加核對"</f>
        <v>茲列出 貴機關111101至111131歲出分配餘額暨支付明細，送請詳加核對</v>
      </c>
      <c r="B2" s="797"/>
      <c r="C2" s="797"/>
      <c r="D2" s="797"/>
      <c r="E2" s="797"/>
      <c r="F2" s="797"/>
      <c r="G2" s="797"/>
      <c r="H2" s="797"/>
      <c r="I2" s="797"/>
      <c r="J2" s="797"/>
      <c r="K2" s="797"/>
      <c r="L2" s="797"/>
      <c r="M2" s="797"/>
      <c r="N2" s="797"/>
      <c r="O2" s="797"/>
      <c r="P2" s="797"/>
      <c r="Q2" s="797"/>
      <c r="R2" s="798"/>
    </row>
    <row r="3" spans="1:85" x14ac:dyDescent="0.3">
      <c r="A3" s="799" t="s">
        <v>89</v>
      </c>
      <c r="B3" s="800"/>
      <c r="C3" s="800"/>
      <c r="D3" s="800"/>
      <c r="E3" s="800"/>
      <c r="F3" s="800"/>
      <c r="G3" s="800"/>
      <c r="H3" s="800"/>
      <c r="I3" s="800"/>
      <c r="J3" s="800"/>
      <c r="K3" s="800"/>
      <c r="L3" s="800"/>
      <c r="M3" s="800"/>
      <c r="N3" s="800"/>
      <c r="O3" s="800"/>
      <c r="P3" s="800"/>
      <c r="Q3" s="800"/>
      <c r="R3" s="801"/>
    </row>
    <row r="4" spans="1:85" x14ac:dyDescent="0.3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 x14ac:dyDescent="0.3">
      <c r="A5" s="34"/>
      <c r="B5" s="35"/>
      <c r="C5" s="802" t="s">
        <v>90</v>
      </c>
      <c r="D5" s="802"/>
      <c r="E5" s="802"/>
      <c r="F5" s="802"/>
      <c r="G5" s="802"/>
      <c r="H5" s="802" t="s">
        <v>91</v>
      </c>
      <c r="I5" s="802"/>
      <c r="J5" s="36"/>
      <c r="K5" s="36"/>
      <c r="L5" s="36"/>
      <c r="M5" s="36"/>
      <c r="N5" s="36"/>
      <c r="O5" s="36"/>
      <c r="P5" s="36"/>
      <c r="Q5" s="36"/>
      <c r="R5" s="37"/>
    </row>
    <row r="6" spans="1:85" x14ac:dyDescent="0.3">
      <c r="A6" s="38"/>
      <c r="B6" s="39" t="s">
        <v>92</v>
      </c>
      <c r="C6" s="789"/>
      <c r="D6" s="790"/>
      <c r="E6" s="790"/>
      <c r="F6" s="791" t="s">
        <v>93</v>
      </c>
      <c r="G6" s="792"/>
      <c r="H6" s="792"/>
      <c r="I6" s="792"/>
      <c r="J6" s="792"/>
      <c r="K6" s="792"/>
      <c r="L6" s="33"/>
      <c r="M6" s="33"/>
      <c r="N6" s="33"/>
      <c r="O6" s="33"/>
      <c r="P6" s="33"/>
      <c r="Q6" s="33"/>
      <c r="R6" s="40"/>
    </row>
    <row r="7" spans="1:85" x14ac:dyDescent="0.3">
      <c r="A7" s="38"/>
      <c r="B7" s="791" t="s">
        <v>94</v>
      </c>
      <c r="C7" s="791"/>
      <c r="D7" s="791"/>
      <c r="E7" s="791"/>
      <c r="F7" s="791"/>
      <c r="G7" s="791"/>
      <c r="H7" s="791"/>
      <c r="I7" s="791"/>
      <c r="J7" s="33"/>
      <c r="K7" s="33"/>
      <c r="L7" s="33"/>
      <c r="M7" s="33"/>
      <c r="N7" s="33"/>
      <c r="O7" s="33"/>
      <c r="P7" s="33"/>
      <c r="Q7" s="33"/>
      <c r="R7" s="40"/>
    </row>
    <row r="8" spans="1:85" x14ac:dyDescent="0.3">
      <c r="A8" s="38"/>
      <c r="B8" s="791" t="s">
        <v>95</v>
      </c>
      <c r="C8" s="791"/>
      <c r="D8" s="791"/>
      <c r="E8" s="791"/>
      <c r="F8" s="791"/>
      <c r="G8" s="791"/>
      <c r="H8" s="791"/>
      <c r="I8" s="791"/>
      <c r="J8" s="33"/>
      <c r="K8" s="33"/>
      <c r="L8" s="33"/>
      <c r="M8" s="33"/>
      <c r="N8" s="33"/>
      <c r="O8" s="33"/>
      <c r="P8" s="33"/>
      <c r="Q8" s="33"/>
      <c r="R8" s="40"/>
    </row>
    <row r="9" spans="1:85" x14ac:dyDescent="0.3">
      <c r="A9" s="41" t="s">
        <v>96</v>
      </c>
      <c r="B9" s="810" t="s">
        <v>97</v>
      </c>
      <c r="C9" s="810"/>
      <c r="D9" s="810"/>
      <c r="E9" s="810"/>
      <c r="F9" s="810"/>
      <c r="G9" s="810"/>
      <c r="H9" s="810"/>
      <c r="I9" s="810"/>
      <c r="J9" s="43"/>
      <c r="K9" s="43"/>
      <c r="L9" s="43"/>
      <c r="M9" s="43"/>
      <c r="N9" s="43"/>
      <c r="O9" s="43"/>
      <c r="P9" s="43"/>
      <c r="Q9" s="43"/>
      <c r="R9" s="44"/>
    </row>
    <row r="10" spans="1:85" x14ac:dyDescent="0.3">
      <c r="A10" s="811" t="s">
        <v>98</v>
      </c>
      <c r="B10" s="802"/>
      <c r="C10" s="802"/>
      <c r="D10" s="812"/>
      <c r="E10" s="813" t="s">
        <v>99</v>
      </c>
      <c r="F10" s="812"/>
      <c r="G10" s="813" t="s">
        <v>100</v>
      </c>
      <c r="H10" s="812"/>
      <c r="I10" s="813" t="s">
        <v>101</v>
      </c>
      <c r="J10" s="812"/>
      <c r="K10" s="813" t="s">
        <v>76</v>
      </c>
      <c r="L10" s="812"/>
      <c r="M10" s="813" t="s">
        <v>102</v>
      </c>
      <c r="N10" s="802"/>
      <c r="O10" s="802"/>
      <c r="P10" s="802"/>
      <c r="Q10" s="802"/>
      <c r="R10" s="812"/>
    </row>
    <row r="11" spans="1:85" ht="52.5" customHeight="1" x14ac:dyDescent="0.3">
      <c r="A11" s="803" t="s">
        <v>103</v>
      </c>
      <c r="B11" s="804"/>
      <c r="C11" s="804"/>
      <c r="D11" s="805"/>
      <c r="E11" s="806" t="s">
        <v>104</v>
      </c>
      <c r="F11" s="807"/>
      <c r="G11" s="808">
        <v>1053704</v>
      </c>
      <c r="H11" s="809"/>
      <c r="I11" s="808">
        <v>365251010501182</v>
      </c>
      <c r="J11" s="809"/>
      <c r="K11" s="814">
        <v>26000</v>
      </c>
      <c r="L11" s="815"/>
      <c r="M11" s="803" t="s">
        <v>105</v>
      </c>
      <c r="N11" s="804"/>
      <c r="O11" s="804"/>
      <c r="P11" s="804"/>
      <c r="Q11" s="804"/>
      <c r="R11" s="805"/>
      <c r="S11" s="45" t="s">
        <v>106</v>
      </c>
    </row>
    <row r="12" spans="1:85" ht="54" customHeight="1" x14ac:dyDescent="0.3">
      <c r="A12" s="803" t="s">
        <v>107</v>
      </c>
      <c r="B12" s="804"/>
      <c r="C12" s="804"/>
      <c r="D12" s="805"/>
      <c r="E12" s="806" t="s">
        <v>108</v>
      </c>
      <c r="F12" s="807"/>
      <c r="G12" s="808">
        <v>1050843</v>
      </c>
      <c r="H12" s="809"/>
      <c r="I12" s="808">
        <v>365251010500989</v>
      </c>
      <c r="J12" s="809"/>
      <c r="K12" s="814">
        <v>129310</v>
      </c>
      <c r="L12" s="815"/>
      <c r="M12" s="803" t="s">
        <v>109</v>
      </c>
      <c r="N12" s="804"/>
      <c r="O12" s="804"/>
      <c r="P12" s="804"/>
      <c r="Q12" s="804"/>
      <c r="R12" s="805"/>
    </row>
    <row r="13" spans="1:85" ht="52.5" customHeight="1" x14ac:dyDescent="0.3">
      <c r="A13" s="803" t="s">
        <v>110</v>
      </c>
      <c r="B13" s="804"/>
      <c r="C13" s="804"/>
      <c r="D13" s="805"/>
      <c r="E13" s="806" t="s">
        <v>104</v>
      </c>
      <c r="F13" s="807"/>
      <c r="G13" s="808">
        <v>1053632</v>
      </c>
      <c r="H13" s="809"/>
      <c r="I13" s="808">
        <v>365251010501170</v>
      </c>
      <c r="J13" s="809"/>
      <c r="K13" s="814">
        <v>12925</v>
      </c>
      <c r="L13" s="815"/>
      <c r="M13" s="803" t="s">
        <v>111</v>
      </c>
      <c r="N13" s="804"/>
      <c r="O13" s="804"/>
      <c r="P13" s="804"/>
      <c r="Q13" s="804"/>
      <c r="R13" s="805"/>
    </row>
    <row r="14" spans="1:85" x14ac:dyDescent="0.3">
      <c r="A14" s="816"/>
      <c r="B14" s="817"/>
      <c r="C14" s="817"/>
      <c r="D14" s="818"/>
      <c r="E14" s="821"/>
      <c r="F14" s="822"/>
      <c r="G14" s="819"/>
      <c r="H14" s="820"/>
      <c r="I14" s="819"/>
      <c r="J14" s="820"/>
      <c r="K14" s="827"/>
      <c r="L14" s="828"/>
      <c r="M14" s="829"/>
      <c r="N14" s="830"/>
      <c r="O14" s="830"/>
      <c r="P14" s="830"/>
      <c r="Q14" s="830"/>
      <c r="R14" s="831"/>
    </row>
    <row r="15" spans="1:85" x14ac:dyDescent="0.3">
      <c r="A15" s="813" t="s">
        <v>112</v>
      </c>
      <c r="B15" s="802"/>
      <c r="C15" s="802"/>
      <c r="D15" s="802"/>
      <c r="E15" s="802"/>
      <c r="F15" s="802"/>
      <c r="G15" s="802"/>
      <c r="H15" s="802"/>
      <c r="I15" s="802"/>
      <c r="J15" s="802"/>
      <c r="K15" s="802"/>
      <c r="L15" s="802"/>
      <c r="M15" s="802"/>
      <c r="N15" s="802"/>
      <c r="O15" s="802"/>
      <c r="P15" s="802"/>
      <c r="Q15" s="802"/>
      <c r="R15" s="8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 x14ac:dyDescent="0.3">
      <c r="A16" s="823" t="s">
        <v>113</v>
      </c>
      <c r="B16" s="790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 x14ac:dyDescent="0.3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 x14ac:dyDescent="0.3">
      <c r="A18" s="46"/>
      <c r="B18" s="47"/>
      <c r="C18" s="810" t="s">
        <v>115</v>
      </c>
      <c r="D18" s="810"/>
      <c r="E18" s="43"/>
      <c r="F18" s="43"/>
      <c r="G18" s="42"/>
      <c r="H18" s="42"/>
      <c r="I18" s="810" t="s">
        <v>116</v>
      </c>
      <c r="J18" s="810"/>
      <c r="K18" s="810"/>
      <c r="L18" s="43"/>
      <c r="M18" s="43"/>
      <c r="N18" s="43"/>
      <c r="O18" s="43"/>
      <c r="P18" s="824">
        <f ca="1">NOW()</f>
        <v>44617.553359259262</v>
      </c>
      <c r="Q18" s="825"/>
      <c r="R18" s="82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 x14ac:dyDescent="0.3">
      <c r="A19" s="790" t="s">
        <v>117</v>
      </c>
      <c r="B19" s="790"/>
      <c r="E19" s="832" t="s">
        <v>118</v>
      </c>
      <c r="F19" s="833"/>
      <c r="G19" s="833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 x14ac:dyDescent="0.3">
      <c r="A20" s="792" t="s">
        <v>120</v>
      </c>
      <c r="B20" s="792"/>
      <c r="F20" s="792" t="s">
        <v>120</v>
      </c>
      <c r="G20" s="792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0" zoomScale="90" zoomScaleNormal="90" workbookViewId="0">
      <selection activeCell="G30" sqref="G30"/>
    </sheetView>
  </sheetViews>
  <sheetFormatPr defaultRowHeight="13.8" x14ac:dyDescent="0.25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 x14ac:dyDescent="0.25">
      <c r="A1" s="567" t="s">
        <v>348</v>
      </c>
      <c r="B1" s="567"/>
    </row>
    <row r="2" spans="1:8" x14ac:dyDescent="0.25">
      <c r="A2" s="568" t="s">
        <v>349</v>
      </c>
      <c r="B2" s="567"/>
    </row>
    <row r="3" spans="1:8" x14ac:dyDescent="0.25">
      <c r="A3" s="567" t="s">
        <v>350</v>
      </c>
      <c r="B3" s="567"/>
    </row>
    <row r="4" spans="1:8" ht="27.6" x14ac:dyDescent="0.25">
      <c r="A4" s="567" t="s">
        <v>351</v>
      </c>
      <c r="B4" s="567"/>
      <c r="C4" s="184" t="s">
        <v>352</v>
      </c>
      <c r="D4" s="196" t="s">
        <v>353</v>
      </c>
      <c r="E4" s="164" t="s">
        <v>354</v>
      </c>
      <c r="F4" s="196" t="s">
        <v>355</v>
      </c>
    </row>
    <row r="5" spans="1:8" x14ac:dyDescent="0.25">
      <c r="A5" s="568" t="s">
        <v>356</v>
      </c>
      <c r="B5" s="567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 x14ac:dyDescent="0.3">
      <c r="A6" s="565" t="s">
        <v>357</v>
      </c>
      <c r="B6" s="566"/>
      <c r="C6" s="183" t="s">
        <v>358</v>
      </c>
      <c r="D6" s="198">
        <f>VLOOKUP("銀行存款-縣庫存款",平衡!$E$13:$H$47,4,0)+VLOOKUP("零用及週轉金",平衡!$D$13:$H$47,5,0)</f>
        <v>1514533</v>
      </c>
      <c r="E6" s="198">
        <f>VLOOKUP("淨資產",平衡!$K$13:$U$70,10,0)+C5-VLOOKUP("固定資產",平衡!$B$13:$H$47,7,0)</f>
        <v>1514533</v>
      </c>
      <c r="F6" s="169" t="s">
        <v>359</v>
      </c>
    </row>
    <row r="7" spans="1:8" ht="14.4" thickBot="1" x14ac:dyDescent="0.3">
      <c r="A7" s="565" t="s">
        <v>360</v>
      </c>
      <c r="B7" s="566"/>
      <c r="C7" s="183" t="s">
        <v>361</v>
      </c>
      <c r="D7" s="198">
        <f>VLOOKUP("銀行存款-專戶存款",平衡!$E$13:$H$47,4,0)+VLOOKUP("其他預付款",平衡!$D$13:$H$47,5,0)</f>
        <v>59178429</v>
      </c>
      <c r="E7" s="198" t="e">
        <f>VLOOKUP("應付代收款",平衡!$N$13:$U$47,7,0)+VLOOKUP("存入保證金",平衡!$N$13:$U$47,7,0)</f>
        <v>#N/A</v>
      </c>
      <c r="F7" s="169" t="s">
        <v>362</v>
      </c>
    </row>
    <row r="8" spans="1:8" ht="20.399999999999999" thickBot="1" x14ac:dyDescent="0.3">
      <c r="A8" s="80" t="s">
        <v>129</v>
      </c>
      <c r="B8" s="81" t="s">
        <v>130</v>
      </c>
      <c r="C8" s="183" t="s">
        <v>363</v>
      </c>
      <c r="D8" s="199">
        <f>VLOOKUP("合計：",平衡!$A$13:$H$47,8,0)</f>
        <v>103580234</v>
      </c>
      <c r="E8" s="199" t="e">
        <f>VLOOKUP("合計：",平衡!$K$13:$U$47,10,0)</f>
        <v>#N/A</v>
      </c>
    </row>
    <row r="9" spans="1:8" ht="16.8" thickBot="1" x14ac:dyDescent="0.3">
      <c r="A9" s="464" t="s">
        <v>131</v>
      </c>
      <c r="B9" s="77" t="s">
        <v>132</v>
      </c>
      <c r="C9" s="183" t="s">
        <v>364</v>
      </c>
      <c r="D9" s="199">
        <f>VLOOKUP("基金用途",餘絀表!$C$16:$T$44,18,0)</f>
        <v>6972909</v>
      </c>
      <c r="E9" s="199">
        <f>VLOOKUP("合       計",各項費用!$D$12:$Q$86,14)</f>
        <v>6972909</v>
      </c>
      <c r="F9" s="199">
        <f>縣庫對帳!P3</f>
        <v>6972909</v>
      </c>
    </row>
    <row r="10" spans="1:8" ht="33" thickBot="1" x14ac:dyDescent="0.3">
      <c r="A10" s="464" t="s">
        <v>133</v>
      </c>
      <c r="B10" s="77" t="s">
        <v>134</v>
      </c>
      <c r="C10" s="183" t="s">
        <v>365</v>
      </c>
      <c r="D10" s="199">
        <f>VLOOKUP("基金來源",餘絀表!$C$16:$T$44,18,0)</f>
        <v>6143000</v>
      </c>
      <c r="E10" s="199">
        <f>縣庫對帳!N3</f>
        <v>6143000</v>
      </c>
      <c r="F10" s="199"/>
      <c r="G10" s="199"/>
      <c r="H10" s="186" t="e">
        <f>D13-E13</f>
        <v>#N/A</v>
      </c>
    </row>
    <row r="11" spans="1:8" ht="27" customHeight="1" x14ac:dyDescent="0.25">
      <c r="A11" s="569" t="s">
        <v>29</v>
      </c>
      <c r="B11" s="569" t="s">
        <v>135</v>
      </c>
      <c r="C11" s="183" t="s">
        <v>366</v>
      </c>
      <c r="D11" s="199">
        <f>VLOOKUP("政府撥入收入",餘絀表!$C$16:$T$44,18,0)</f>
        <v>6143000</v>
      </c>
      <c r="E11" s="199"/>
      <c r="F11" s="199">
        <f>VLOOKUP("政府撥入收入",收支!$B$14:$N$61,13,0)</f>
        <v>6143000</v>
      </c>
      <c r="G11" s="199">
        <f>VLOOKUP("政府撥入收入",對照表!$B$1:$E$28,4,0)</f>
        <v>6143000</v>
      </c>
    </row>
    <row r="12" spans="1:8" ht="27.6" x14ac:dyDescent="0.25">
      <c r="A12" s="572"/>
      <c r="B12" s="572"/>
      <c r="C12" s="183" t="s">
        <v>367</v>
      </c>
      <c r="D12" s="199"/>
      <c r="E12" s="199"/>
      <c r="F12" s="199">
        <f>VLOOKUP("收入",收支!$A$14:$N$61,14,0)</f>
        <v>9027899</v>
      </c>
      <c r="G12" s="199">
        <f>VLOOKUP("基金來源",對照表!$A$1:$E$28,5,0)</f>
        <v>9027899</v>
      </c>
    </row>
    <row r="13" spans="1:8" x14ac:dyDescent="0.25">
      <c r="A13" s="572"/>
      <c r="B13" s="572"/>
      <c r="C13" s="183" t="s">
        <v>368</v>
      </c>
      <c r="D13" s="199" t="e">
        <f>IF(封面!J10=12,0,VLOOKUP($G$13,平衡!$N$13:$U$47,7,0))</f>
        <v>#N/A</v>
      </c>
      <c r="E13" s="199">
        <f>VLOOKUP("本期賸餘（短絀）",收支!$A$14:$N$50,14,0)</f>
        <v>1870124</v>
      </c>
      <c r="F13" s="199">
        <f>VLOOKUP("本期賸餘(短絀)",對照表!$A$1:$E$28,5,0)</f>
        <v>1870124</v>
      </c>
      <c r="G13" s="197" t="str">
        <f>IF(E13&gt;=0,"本期賸餘","本期短絀")</f>
        <v>本期賸餘</v>
      </c>
    </row>
    <row r="14" spans="1:8" x14ac:dyDescent="0.25">
      <c r="A14" s="572"/>
      <c r="B14" s="572"/>
      <c r="C14" s="183" t="s">
        <v>369</v>
      </c>
      <c r="D14" s="199">
        <f>IF(封面!J10=12,0,VLOOKUP("本期賸餘(短絀－)",餘絀表!$C$16:$T$47,18,0))</f>
        <v>-829909</v>
      </c>
      <c r="E14" s="199"/>
      <c r="F14" s="199">
        <f>IF(封面!J10=12,0,VLOOKUP("本期賸餘(短絀)",對照表!$A$1:$C$28,3,0))</f>
        <v>-829909</v>
      </c>
      <c r="G14" s="197"/>
    </row>
    <row r="15" spans="1:8" x14ac:dyDescent="0.25">
      <c r="A15" s="572"/>
      <c r="B15" s="572"/>
      <c r="C15" s="183" t="s">
        <v>370</v>
      </c>
      <c r="D15" s="199">
        <f>IF(封面!J12=12,0,VLOOKUP($G$15,平衡!$K$13:$U$47,10,0))</f>
        <v>44401805</v>
      </c>
      <c r="E15" s="199">
        <f>IF(封面!J12=12,0,VLOOKUP("期末淨資產",收支!$A$14:$N$50,14,0))</f>
        <v>44401805</v>
      </c>
      <c r="F15" s="199">
        <f>IF(封面!K12=12,0,VLOOKUP("期末基金餘額",對照表!$A$1:$E$40,5,0))</f>
        <v>44401805</v>
      </c>
      <c r="G15" s="197" t="s">
        <v>370</v>
      </c>
    </row>
    <row r="16" spans="1:8" ht="14.4" thickBot="1" x14ac:dyDescent="0.3">
      <c r="A16" s="573"/>
      <c r="B16" s="573"/>
      <c r="C16" s="183" t="s">
        <v>371</v>
      </c>
      <c r="D16" s="199">
        <f>VLOOKUP("國民教育計畫",主要業務!$B$15:$J$24,7,0)</f>
        <v>6972909</v>
      </c>
      <c r="E16" s="199">
        <f>VLOOKUP("國民教育計畫",餘絀表!$C$16:$T$44,8,0)</f>
        <v>6972909</v>
      </c>
    </row>
    <row r="17" spans="1:10" x14ac:dyDescent="0.25">
      <c r="A17" s="569" t="s">
        <v>147</v>
      </c>
      <c r="B17" s="569" t="s">
        <v>136</v>
      </c>
      <c r="C17" s="183" t="s">
        <v>372</v>
      </c>
      <c r="D17" s="199">
        <f>主要業務!H17</f>
        <v>6972909</v>
      </c>
      <c r="E17" s="199">
        <f>VLOOKUP("國民教育計畫",餘絀表!$C$16:$T$44,18,0)</f>
        <v>6972909</v>
      </c>
    </row>
    <row r="18" spans="1:10" x14ac:dyDescent="0.25">
      <c r="A18" s="570"/>
      <c r="B18" s="572"/>
      <c r="C18" s="183" t="s">
        <v>373</v>
      </c>
      <c r="D18" s="199">
        <f>主要業務!H20</f>
        <v>0</v>
      </c>
      <c r="E18" s="199" t="e">
        <f>VLOOKUP("建築及設備計畫",餘絀表!$C$16:$T$44,9,0)</f>
        <v>#N/A</v>
      </c>
    </row>
    <row r="19" spans="1:10" x14ac:dyDescent="0.25">
      <c r="A19" s="570"/>
      <c r="B19" s="572"/>
      <c r="C19" s="183" t="s">
        <v>374</v>
      </c>
      <c r="D19" s="199">
        <f>主要業務!H22</f>
        <v>0</v>
      </c>
      <c r="E19" s="199" t="e">
        <f>VLOOKUP("建築及設備計畫",餘絀表!$C$16:$T$44,18,0)</f>
        <v>#N/A</v>
      </c>
    </row>
    <row r="20" spans="1:10" x14ac:dyDescent="0.25">
      <c r="A20" s="570"/>
      <c r="B20" s="572"/>
      <c r="C20" s="183" t="s">
        <v>375</v>
      </c>
      <c r="D20" s="199">
        <f>VLOOKUP("用人費用",各項費用!$F$12:$Q$100,12,0)</f>
        <v>6896399</v>
      </c>
      <c r="E20" s="199">
        <f>VLOOKUP("人事支出",收支!$B$14:$N$61,13,0)</f>
        <v>6896399</v>
      </c>
      <c r="F20" s="199">
        <f>VLOOKUP("用人費用",對照表!$B$1:$E$28,4,0)</f>
        <v>6896399</v>
      </c>
    </row>
    <row r="21" spans="1:10" x14ac:dyDescent="0.25">
      <c r="A21" s="570"/>
      <c r="B21" s="572"/>
      <c r="C21" s="183" t="s">
        <v>376</v>
      </c>
      <c r="D21" s="199">
        <f>IF(E21=0,0,資產!F10+H21-H22)</f>
        <v>184866</v>
      </c>
      <c r="E21" s="199">
        <f>VLOOKUP("折舊、折耗及攤銷",收支!$B$14:$N$61,13,0)</f>
        <v>184866</v>
      </c>
      <c r="F21" s="199">
        <f>VLOOKUP("折舊、折耗及攤銷",對照表!$H$1:$J$28,3,0)</f>
        <v>184866</v>
      </c>
      <c r="G21" s="460" t="s">
        <v>377</v>
      </c>
      <c r="H21" s="461"/>
    </row>
    <row r="22" spans="1:10" x14ac:dyDescent="0.25">
      <c r="A22" s="570"/>
      <c r="B22" s="572"/>
      <c r="C22" s="470"/>
      <c r="D22" s="186"/>
      <c r="E22" s="186"/>
      <c r="F22" s="186"/>
      <c r="G22" s="460" t="s">
        <v>611</v>
      </c>
      <c r="H22" s="471">
        <v>1275</v>
      </c>
    </row>
    <row r="23" spans="1:10" x14ac:dyDescent="0.25">
      <c r="A23" s="570"/>
      <c r="B23" s="578"/>
      <c r="C23" s="488"/>
      <c r="D23" s="576" t="s">
        <v>378</v>
      </c>
      <c r="E23" s="576"/>
      <c r="F23" s="576"/>
      <c r="G23" s="489" t="s">
        <v>379</v>
      </c>
      <c r="H23" s="490"/>
    </row>
    <row r="24" spans="1:10" x14ac:dyDescent="0.25">
      <c r="A24" s="570"/>
      <c r="B24" s="578"/>
      <c r="C24" s="488"/>
      <c r="D24" s="491" t="s">
        <v>380</v>
      </c>
      <c r="E24" s="492" t="s">
        <v>381</v>
      </c>
      <c r="F24" s="493" t="s">
        <v>382</v>
      </c>
      <c r="G24" s="494"/>
      <c r="H24" s="494"/>
      <c r="I24" s="164"/>
    </row>
    <row r="25" spans="1:10" x14ac:dyDescent="0.25">
      <c r="A25" s="570"/>
      <c r="B25" s="578"/>
      <c r="C25" s="495" t="s">
        <v>383</v>
      </c>
      <c r="D25" s="495"/>
      <c r="E25" s="495"/>
      <c r="F25" s="496">
        <f t="shared" ref="F25:F30" si="0">SUM(D25:E25)</f>
        <v>0</v>
      </c>
      <c r="G25" s="496">
        <v>0</v>
      </c>
      <c r="H25" s="497"/>
      <c r="I25" s="164"/>
    </row>
    <row r="26" spans="1:10" ht="14.4" thickBot="1" x14ac:dyDescent="0.3">
      <c r="A26" s="571"/>
      <c r="B26" s="579"/>
      <c r="C26" s="495" t="s">
        <v>384</v>
      </c>
      <c r="D26" s="495"/>
      <c r="E26" s="495"/>
      <c r="F26" s="496">
        <f t="shared" si="0"/>
        <v>0</v>
      </c>
      <c r="G26" s="496"/>
      <c r="H26" s="497"/>
      <c r="I26" s="164"/>
    </row>
    <row r="27" spans="1:10" ht="16.8" thickBot="1" x14ac:dyDescent="0.3">
      <c r="A27" s="464" t="s">
        <v>137</v>
      </c>
      <c r="B27" s="487" t="s">
        <v>148</v>
      </c>
      <c r="C27" s="495" t="s">
        <v>385</v>
      </c>
      <c r="D27" s="498">
        <v>724049</v>
      </c>
      <c r="E27" s="498"/>
      <c r="F27" s="496">
        <f t="shared" si="0"/>
        <v>724049</v>
      </c>
      <c r="G27" s="496">
        <v>724049</v>
      </c>
      <c r="H27" s="497"/>
      <c r="I27" s="164"/>
    </row>
    <row r="28" spans="1:10" ht="16.8" customHeight="1" thickBot="1" x14ac:dyDescent="0.3">
      <c r="A28" s="464" t="s">
        <v>71</v>
      </c>
      <c r="B28" s="487" t="s">
        <v>138</v>
      </c>
      <c r="C28" s="495" t="s">
        <v>386</v>
      </c>
      <c r="D28" s="499">
        <f>F28</f>
        <v>55302452</v>
      </c>
      <c r="E28" s="498"/>
      <c r="F28" s="496">
        <f>F31-(F25+F26+F27+F29+F30)</f>
        <v>55302452</v>
      </c>
      <c r="G28" s="496">
        <v>55302452</v>
      </c>
      <c r="H28" s="497"/>
      <c r="I28" s="164"/>
      <c r="J28" s="166"/>
    </row>
    <row r="29" spans="1:10" ht="16.8" thickBot="1" x14ac:dyDescent="0.3">
      <c r="A29" s="464" t="s">
        <v>139</v>
      </c>
      <c r="B29" s="487" t="s">
        <v>140</v>
      </c>
      <c r="C29" s="495" t="s">
        <v>387</v>
      </c>
      <c r="D29" s="498">
        <v>1206253</v>
      </c>
      <c r="E29" s="498">
        <f>800000+800000+300000</f>
        <v>1900000</v>
      </c>
      <c r="F29" s="496">
        <f t="shared" si="0"/>
        <v>3106253</v>
      </c>
      <c r="G29" s="496">
        <f>1206253+1900000</f>
        <v>3106253</v>
      </c>
      <c r="H29" s="497"/>
      <c r="I29" s="164"/>
    </row>
    <row r="30" spans="1:10" x14ac:dyDescent="0.25">
      <c r="A30" s="569" t="s">
        <v>141</v>
      </c>
      <c r="B30" s="577" t="s">
        <v>142</v>
      </c>
      <c r="C30" s="495" t="s">
        <v>388</v>
      </c>
      <c r="D30" s="498">
        <v>5</v>
      </c>
      <c r="E30" s="498"/>
      <c r="F30" s="496">
        <f t="shared" si="0"/>
        <v>5</v>
      </c>
      <c r="G30" s="496">
        <v>5</v>
      </c>
      <c r="H30" s="497"/>
      <c r="I30" s="164"/>
    </row>
    <row r="31" spans="1:10" x14ac:dyDescent="0.25">
      <c r="A31" s="572"/>
      <c r="B31" s="578"/>
      <c r="C31" s="500" t="s">
        <v>389</v>
      </c>
      <c r="D31" s="501">
        <f>SUM(D25:D30)</f>
        <v>57232759</v>
      </c>
      <c r="E31" s="501">
        <f>SUM(E25:E30)</f>
        <v>1900000</v>
      </c>
      <c r="F31" s="502">
        <f>VLOOKUP("銀行存款-專戶存款",平衡!$E$13:$H$46,4,0)</f>
        <v>59132759</v>
      </c>
      <c r="G31" s="502">
        <f>SUM(G25:G30)</f>
        <v>59132759</v>
      </c>
      <c r="H31" s="497"/>
      <c r="I31" s="164"/>
    </row>
    <row r="32" spans="1:10" ht="14.4" thickBot="1" x14ac:dyDescent="0.3">
      <c r="A32" s="571"/>
      <c r="B32" s="571"/>
      <c r="C32" s="500" t="s">
        <v>460</v>
      </c>
      <c r="D32" s="574">
        <f>SUM(D31:E31)</f>
        <v>59132759</v>
      </c>
      <c r="E32" s="575"/>
      <c r="F32" s="186"/>
      <c r="G32" s="186"/>
      <c r="H32" s="164"/>
      <c r="I32" s="164"/>
    </row>
    <row r="33" spans="1:9" ht="14.4" thickBot="1" x14ac:dyDescent="0.3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 x14ac:dyDescent="0.3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 x14ac:dyDescent="0.3">
      <c r="A35" s="200"/>
      <c r="B35" s="200"/>
      <c r="D35" s="183"/>
      <c r="E35" s="183"/>
      <c r="F35" s="199"/>
      <c r="G35" s="199"/>
      <c r="H35" s="186"/>
    </row>
    <row r="36" spans="1:9" ht="20.399999999999999" thickBot="1" x14ac:dyDescent="0.3">
      <c r="A36" s="75"/>
      <c r="B36" s="75"/>
    </row>
    <row r="37" spans="1:9" ht="20.399999999999999" thickBot="1" x14ac:dyDescent="0.3">
      <c r="A37" s="78" t="s">
        <v>129</v>
      </c>
      <c r="B37" s="79" t="s">
        <v>143</v>
      </c>
    </row>
    <row r="38" spans="1:9" ht="16.8" thickBot="1" x14ac:dyDescent="0.3">
      <c r="A38" s="464" t="s">
        <v>144</v>
      </c>
      <c r="B38" s="77" t="s">
        <v>164</v>
      </c>
    </row>
    <row r="39" spans="1:9" ht="33" thickBot="1" x14ac:dyDescent="0.3">
      <c r="A39" s="464" t="s">
        <v>131</v>
      </c>
      <c r="B39" s="77" t="s">
        <v>165</v>
      </c>
    </row>
    <row r="40" spans="1:9" ht="16.8" thickBot="1" x14ac:dyDescent="0.3">
      <c r="A40" s="464" t="s">
        <v>145</v>
      </c>
      <c r="B40" s="77" t="s">
        <v>146</v>
      </c>
    </row>
  </sheetData>
  <mergeCells count="15">
    <mergeCell ref="D32:E32"/>
    <mergeCell ref="D23:F2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42" priority="39" stopIfTrue="1">
      <formula>$D$16&lt;&gt;$E$16</formula>
    </cfRule>
  </conditionalFormatting>
  <conditionalFormatting sqref="D17:E17">
    <cfRule type="expression" dxfId="41" priority="38" stopIfTrue="1">
      <formula>$D17&lt;&gt;$E17</formula>
    </cfRule>
  </conditionalFormatting>
  <conditionalFormatting sqref="D18:E18 E19">
    <cfRule type="expression" dxfId="40" priority="37" stopIfTrue="1">
      <formula>$D$18&lt;&gt;$E$18</formula>
    </cfRule>
  </conditionalFormatting>
  <conditionalFormatting sqref="G31">
    <cfRule type="expression" dxfId="39" priority="36" stopIfTrue="1">
      <formula>$F$33&lt;&gt;$G$33</formula>
    </cfRule>
  </conditionalFormatting>
  <conditionalFormatting sqref="G32">
    <cfRule type="expression" dxfId="38" priority="35" stopIfTrue="1">
      <formula>$H$34&lt;&gt;0</formula>
    </cfRule>
  </conditionalFormatting>
  <conditionalFormatting sqref="G33">
    <cfRule type="expression" dxfId="37" priority="34" stopIfTrue="1">
      <formula>$F$33&lt;&gt;$G$33</formula>
    </cfRule>
  </conditionalFormatting>
  <conditionalFormatting sqref="G34">
    <cfRule type="expression" dxfId="36" priority="33" stopIfTrue="1">
      <formula>$H$34&lt;&gt;0</formula>
    </cfRule>
  </conditionalFormatting>
  <conditionalFormatting sqref="G31">
    <cfRule type="expression" dxfId="35" priority="32" stopIfTrue="1">
      <formula>$F$33&lt;&gt;$G$33</formula>
    </cfRule>
  </conditionalFormatting>
  <conditionalFormatting sqref="D14 F14:F15">
    <cfRule type="expression" dxfId="34" priority="31">
      <formula>$D$14&lt;&gt;$F$14</formula>
    </cfRule>
  </conditionalFormatting>
  <conditionalFormatting sqref="F15">
    <cfRule type="expression" dxfId="33" priority="28">
      <formula>$E$15&lt;&gt;$F$15</formula>
    </cfRule>
    <cfRule type="expression" dxfId="32" priority="29">
      <formula>$D$15&lt;&gt;$F$15</formula>
    </cfRule>
    <cfRule type="expression" dxfId="31" priority="30">
      <formula>$D$14&lt;&gt;$F$14</formula>
    </cfRule>
  </conditionalFormatting>
  <conditionalFormatting sqref="D15">
    <cfRule type="expression" dxfId="30" priority="26">
      <formula>$D$15&lt;&gt;$F$15</formula>
    </cfRule>
    <cfRule type="expression" dxfId="29" priority="27">
      <formula>$D$15&lt;&gt;$E$15</formula>
    </cfRule>
  </conditionalFormatting>
  <conditionalFormatting sqref="E15">
    <cfRule type="expression" dxfId="28" priority="24">
      <formula>$E$15&lt;&gt;$F$15</formula>
    </cfRule>
    <cfRule type="expression" dxfId="27" priority="25">
      <formula>$D$15&lt;&gt;$E$15</formula>
    </cfRule>
  </conditionalFormatting>
  <conditionalFormatting sqref="D7:E7">
    <cfRule type="expression" dxfId="26" priority="23">
      <formula>$D$7&lt;&gt;$E$7</formula>
    </cfRule>
  </conditionalFormatting>
  <conditionalFormatting sqref="D8:E8">
    <cfRule type="expression" dxfId="25" priority="22">
      <formula>$D$8&lt;&gt;$E$8</formula>
    </cfRule>
  </conditionalFormatting>
  <conditionalFormatting sqref="E16:E19">
    <cfRule type="expression" dxfId="24" priority="21" stopIfTrue="1">
      <formula>#REF!&lt;&gt;#REF!</formula>
    </cfRule>
  </conditionalFormatting>
  <conditionalFormatting sqref="D20:F20">
    <cfRule type="expression" dxfId="23" priority="19">
      <formula>$D$20&lt;&gt;$E$20</formula>
    </cfRule>
  </conditionalFormatting>
  <conditionalFormatting sqref="D20:F20">
    <cfRule type="expression" dxfId="22" priority="18">
      <formula>$E$20&lt;&gt;$F$20</formula>
    </cfRule>
  </conditionalFormatting>
  <conditionalFormatting sqref="D21:F22 D24">
    <cfRule type="expression" dxfId="21" priority="17">
      <formula>$D$21&lt;&gt;$E$21</formula>
    </cfRule>
  </conditionalFormatting>
  <conditionalFormatting sqref="D21:F22 D24">
    <cfRule type="expression" dxfId="20" priority="16">
      <formula>$D$21&lt;&gt;$F$21</formula>
    </cfRule>
  </conditionalFormatting>
  <conditionalFormatting sqref="D9:F9">
    <cfRule type="expression" dxfId="19" priority="14">
      <formula>$D$9&lt;&gt;$F$9</formula>
    </cfRule>
    <cfRule type="expression" dxfId="18" priority="15">
      <formula>$D$9&lt;&gt;$E$9</formula>
    </cfRule>
  </conditionalFormatting>
  <conditionalFormatting sqref="D10:G10">
    <cfRule type="expression" dxfId="17" priority="13">
      <formula>$D$10&lt;&gt;$E$10</formula>
    </cfRule>
  </conditionalFormatting>
  <conditionalFormatting sqref="F12:G12">
    <cfRule type="expression" dxfId="16" priority="12">
      <formula>$F$12&lt;&gt;$G$12</formula>
    </cfRule>
  </conditionalFormatting>
  <conditionalFormatting sqref="F35:G35">
    <cfRule type="expression" dxfId="15" priority="11" stopIfTrue="1">
      <formula>$F$35&lt;&gt;$G$35</formula>
    </cfRule>
  </conditionalFormatting>
  <conditionalFormatting sqref="G31">
    <cfRule type="expression" dxfId="14" priority="9" stopIfTrue="1">
      <formula>$F31&lt;&gt;$G31</formula>
    </cfRule>
  </conditionalFormatting>
  <conditionalFormatting sqref="E13:F13">
    <cfRule type="expression" dxfId="13" priority="8">
      <formula>$E$13&lt;&gt;$F$13</formula>
    </cfRule>
  </conditionalFormatting>
  <conditionalFormatting sqref="F25">
    <cfRule type="expression" dxfId="12" priority="6">
      <formula>$F$25&lt;&gt;$G$25</formula>
    </cfRule>
  </conditionalFormatting>
  <conditionalFormatting sqref="F26:F27">
    <cfRule type="expression" dxfId="11" priority="5">
      <formula>$F26&lt;&gt;$G26</formula>
    </cfRule>
  </conditionalFormatting>
  <conditionalFormatting sqref="F28">
    <cfRule type="expression" dxfId="10" priority="4">
      <formula>$F28&lt;&gt;$G28</formula>
    </cfRule>
  </conditionalFormatting>
  <conditionalFormatting sqref="F29">
    <cfRule type="expression" dxfId="9" priority="3">
      <formula>$F29&lt;&gt;$G29</formula>
    </cfRule>
  </conditionalFormatting>
  <conditionalFormatting sqref="F30">
    <cfRule type="expression" dxfId="8" priority="2">
      <formula>$F30&lt;&gt;$G30</formula>
    </cfRule>
  </conditionalFormatting>
  <conditionalFormatting sqref="F31">
    <cfRule type="expression" dxfId="7" priority="1">
      <formula>$F31&lt;&gt;$G31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J10" sqref="J10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 x14ac:dyDescent="0.25">
      <c r="A1" s="63" t="s">
        <v>287</v>
      </c>
    </row>
    <row r="4" spans="1:15" ht="36.6" x14ac:dyDescent="0.25">
      <c r="A4" s="560" t="s">
        <v>286</v>
      </c>
      <c r="B4" s="561"/>
      <c r="C4" s="561"/>
      <c r="D4" s="561"/>
      <c r="E4" s="561"/>
      <c r="F4" s="561"/>
      <c r="G4" s="561"/>
      <c r="H4" s="561"/>
      <c r="I4" s="561"/>
      <c r="J4" s="561"/>
      <c r="K4" s="561"/>
      <c r="L4" s="561"/>
      <c r="M4" s="561"/>
      <c r="N4" s="561"/>
    </row>
    <row r="5" spans="1:15" ht="59.25" customHeight="1" x14ac:dyDescent="0.25"/>
    <row r="6" spans="1:15" ht="59.25" customHeight="1" x14ac:dyDescent="0.25"/>
    <row r="7" spans="1:15" ht="36.6" x14ac:dyDescent="0.25">
      <c r="C7" s="562" t="s">
        <v>122</v>
      </c>
      <c r="D7" s="562"/>
      <c r="E7" s="562"/>
      <c r="F7" s="562"/>
      <c r="G7" s="562"/>
      <c r="H7" s="562"/>
      <c r="I7" s="562"/>
      <c r="J7" s="562"/>
      <c r="K7" s="562"/>
      <c r="L7" s="562"/>
    </row>
    <row r="8" spans="1:15" ht="51.75" customHeight="1" x14ac:dyDescent="0.25"/>
    <row r="9" spans="1:15" ht="51.75" customHeight="1" x14ac:dyDescent="0.25"/>
    <row r="10" spans="1:15" s="67" customFormat="1" ht="33" x14ac:dyDescent="0.25">
      <c r="C10" s="66"/>
      <c r="D10" s="66"/>
      <c r="E10" s="563" t="s">
        <v>123</v>
      </c>
      <c r="F10" s="563"/>
      <c r="G10" s="563"/>
      <c r="H10" s="67">
        <v>111</v>
      </c>
      <c r="I10" s="67" t="s">
        <v>124</v>
      </c>
      <c r="J10" s="67">
        <v>1</v>
      </c>
      <c r="K10" s="73" t="s">
        <v>125</v>
      </c>
      <c r="L10" s="74" t="s">
        <v>128</v>
      </c>
      <c r="O10" s="67">
        <v>31</v>
      </c>
    </row>
    <row r="15" spans="1:15" s="64" customFormat="1" ht="34.5" customHeight="1" x14ac:dyDescent="0.25">
      <c r="B15" s="564" t="s">
        <v>126</v>
      </c>
      <c r="C15" s="564"/>
      <c r="D15" s="564"/>
      <c r="E15" s="564"/>
      <c r="F15" s="564"/>
      <c r="H15" s="65"/>
      <c r="I15" s="65" t="s">
        <v>127</v>
      </c>
      <c r="J15" s="65"/>
      <c r="K15" s="65"/>
      <c r="L15" s="65"/>
    </row>
    <row r="16" spans="1:15" ht="12" customHeight="1" x14ac:dyDescent="0.25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7"/>
  <sheetViews>
    <sheetView showGridLines="0" showOutlineSymbols="0" view="pageBreakPreview" zoomScale="90" zoomScaleSheetLayoutView="90" workbookViewId="0">
      <selection activeCell="M23" sqref="M23"/>
    </sheetView>
  </sheetViews>
  <sheetFormatPr defaultColWidth="6.88671875" defaultRowHeight="12.75" customHeight="1" x14ac:dyDescent="0.25"/>
  <cols>
    <col min="1" max="1" width="2.6640625" style="85" customWidth="1"/>
    <col min="2" max="2" width="1" style="85" customWidth="1"/>
    <col min="3" max="3" width="24" style="85" customWidth="1"/>
    <col min="4" max="4" width="6.109375" style="85" customWidth="1"/>
    <col min="5" max="6" width="1.109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 x14ac:dyDescent="0.25">
      <c r="AE1" s="600"/>
      <c r="AF1" s="600"/>
      <c r="AG1" s="600"/>
      <c r="AH1" s="600"/>
      <c r="AI1" s="600"/>
    </row>
    <row r="2" spans="2:35" ht="9" customHeight="1" x14ac:dyDescent="0.25">
      <c r="B2" s="474"/>
      <c r="C2" s="604" t="str">
        <f>[1]封面!$A$4</f>
        <v>彰化縣地方教育發展基金－彰化縣秀水鄉馬興國民小學</v>
      </c>
      <c r="D2" s="604"/>
      <c r="E2" s="604"/>
      <c r="F2" s="604"/>
      <c r="G2" s="604"/>
      <c r="H2" s="604"/>
      <c r="I2" s="604"/>
      <c r="J2" s="604"/>
      <c r="K2" s="604"/>
      <c r="L2" s="604"/>
      <c r="M2" s="604"/>
      <c r="N2" s="604"/>
      <c r="O2" s="604"/>
      <c r="P2" s="604"/>
      <c r="Q2" s="604"/>
      <c r="R2" s="604"/>
      <c r="S2" s="604"/>
      <c r="T2" s="604"/>
      <c r="U2" s="604"/>
      <c r="V2" s="604"/>
      <c r="W2" s="604"/>
      <c r="X2" s="604"/>
      <c r="Y2" s="604"/>
      <c r="Z2" s="604"/>
      <c r="AA2" s="604"/>
      <c r="AB2" s="604"/>
      <c r="AC2" s="604"/>
      <c r="AD2" s="604"/>
      <c r="AE2" s="600"/>
      <c r="AF2" s="600"/>
      <c r="AG2" s="600"/>
      <c r="AH2" s="600"/>
      <c r="AI2" s="600"/>
    </row>
    <row r="3" spans="2:35" ht="18" customHeight="1" x14ac:dyDescent="0.25">
      <c r="B3" s="474"/>
      <c r="C3" s="604"/>
      <c r="D3" s="604"/>
      <c r="E3" s="604"/>
      <c r="F3" s="604"/>
      <c r="G3" s="604"/>
      <c r="H3" s="604"/>
      <c r="I3" s="604"/>
      <c r="J3" s="604"/>
      <c r="K3" s="604"/>
      <c r="L3" s="604"/>
      <c r="M3" s="604"/>
      <c r="N3" s="604"/>
      <c r="O3" s="604"/>
      <c r="P3" s="604"/>
      <c r="Q3" s="604"/>
      <c r="R3" s="604"/>
      <c r="S3" s="604"/>
      <c r="T3" s="604"/>
      <c r="U3" s="604"/>
      <c r="V3" s="604"/>
      <c r="W3" s="604"/>
      <c r="X3" s="604"/>
      <c r="Y3" s="604"/>
      <c r="Z3" s="604"/>
      <c r="AA3" s="604"/>
      <c r="AB3" s="604"/>
      <c r="AC3" s="604"/>
      <c r="AD3" s="604"/>
    </row>
    <row r="4" spans="2:35" ht="24" customHeight="1" x14ac:dyDescent="0.25">
      <c r="B4" s="601" t="s">
        <v>9</v>
      </c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  <c r="W4" s="601"/>
      <c r="X4" s="601"/>
      <c r="Y4" s="601"/>
      <c r="Z4" s="601"/>
      <c r="AA4" s="601"/>
      <c r="AB4" s="601"/>
      <c r="AC4" s="601"/>
      <c r="AD4" s="601"/>
    </row>
    <row r="5" spans="2:35" ht="7.5" customHeight="1" x14ac:dyDescent="0.25">
      <c r="C5" s="602" t="str">
        <f>封面!$E$10&amp;封面!$H$10&amp;封面!$I$10&amp;封面!$J$10&amp;封面!$K$10&amp;封面!L10</f>
        <v>中華民國111年1月份</v>
      </c>
      <c r="D5" s="602"/>
      <c r="E5" s="602"/>
      <c r="F5" s="602"/>
      <c r="G5" s="602"/>
      <c r="H5" s="602"/>
      <c r="I5" s="602"/>
      <c r="J5" s="602"/>
      <c r="K5" s="602"/>
      <c r="L5" s="602"/>
      <c r="M5" s="602"/>
      <c r="N5" s="602"/>
      <c r="O5" s="602"/>
      <c r="P5" s="602"/>
      <c r="Q5" s="602"/>
      <c r="R5" s="602"/>
      <c r="S5" s="602"/>
      <c r="T5" s="602"/>
      <c r="U5" s="602"/>
      <c r="V5" s="602"/>
      <c r="W5" s="602"/>
      <c r="X5" s="602"/>
      <c r="Y5" s="602"/>
      <c r="Z5" s="602"/>
      <c r="AA5" s="602"/>
      <c r="AB5" s="602"/>
      <c r="AC5" s="602"/>
      <c r="AD5" s="602"/>
    </row>
    <row r="6" spans="2:35" ht="13.8" customHeight="1" x14ac:dyDescent="0.25">
      <c r="C6" s="602"/>
      <c r="D6" s="602"/>
      <c r="E6" s="602"/>
      <c r="F6" s="602"/>
      <c r="G6" s="602"/>
      <c r="H6" s="602"/>
      <c r="I6" s="602"/>
      <c r="J6" s="602"/>
      <c r="K6" s="602"/>
      <c r="L6" s="602"/>
      <c r="M6" s="602"/>
      <c r="N6" s="602"/>
      <c r="O6" s="602"/>
      <c r="P6" s="602"/>
      <c r="Q6" s="602"/>
      <c r="R6" s="602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</row>
    <row r="7" spans="2:35" ht="16.2" customHeight="1" x14ac:dyDescent="0.25">
      <c r="Y7" s="603" t="s">
        <v>1</v>
      </c>
      <c r="Z7" s="603"/>
      <c r="AA7" s="603"/>
      <c r="AB7" s="603"/>
      <c r="AC7" s="603"/>
      <c r="AD7" s="603"/>
    </row>
    <row r="8" spans="2:35" ht="3.75" customHeight="1" x14ac:dyDescent="0.25"/>
    <row r="9" spans="2:35" s="86" customFormat="1" ht="12.75" customHeight="1" x14ac:dyDescent="0.25">
      <c r="C9" s="594" t="s">
        <v>390</v>
      </c>
      <c r="D9" s="596"/>
      <c r="E9" s="473"/>
      <c r="F9" s="473"/>
      <c r="G9" s="586" t="s">
        <v>12</v>
      </c>
      <c r="H9" s="473"/>
      <c r="I9" s="473"/>
      <c r="J9" s="594" t="s">
        <v>10</v>
      </c>
      <c r="K9" s="595"/>
      <c r="L9" s="595"/>
      <c r="M9" s="595"/>
      <c r="N9" s="595"/>
      <c r="O9" s="595"/>
      <c r="P9" s="595"/>
      <c r="Q9" s="596"/>
      <c r="R9" s="473"/>
      <c r="S9" s="473"/>
      <c r="T9" s="594" t="s">
        <v>11</v>
      </c>
      <c r="U9" s="595"/>
      <c r="V9" s="595"/>
      <c r="W9" s="595"/>
      <c r="X9" s="595"/>
      <c r="Y9" s="595"/>
      <c r="Z9" s="595"/>
      <c r="AA9" s="595"/>
      <c r="AB9" s="595"/>
      <c r="AC9" s="595"/>
      <c r="AD9" s="596"/>
      <c r="AG9" s="216"/>
    </row>
    <row r="10" spans="2:35" s="86" customFormat="1" ht="2.25" customHeight="1" x14ac:dyDescent="0.25">
      <c r="C10" s="597"/>
      <c r="D10" s="599"/>
      <c r="E10" s="473"/>
      <c r="F10" s="473"/>
      <c r="G10" s="587"/>
      <c r="H10" s="472"/>
      <c r="I10" s="473"/>
      <c r="J10" s="597"/>
      <c r="K10" s="598"/>
      <c r="L10" s="598"/>
      <c r="M10" s="598"/>
      <c r="N10" s="598"/>
      <c r="O10" s="598"/>
      <c r="P10" s="598"/>
      <c r="Q10" s="599"/>
      <c r="R10" s="473"/>
      <c r="S10" s="473"/>
      <c r="T10" s="597"/>
      <c r="U10" s="598"/>
      <c r="V10" s="598"/>
      <c r="W10" s="598"/>
      <c r="X10" s="598"/>
      <c r="Y10" s="598"/>
      <c r="Z10" s="598"/>
      <c r="AA10" s="598"/>
      <c r="AB10" s="598"/>
      <c r="AC10" s="598"/>
      <c r="AD10" s="599"/>
      <c r="AG10" s="216"/>
    </row>
    <row r="11" spans="2:35" s="86" customFormat="1" ht="12.75" hidden="1" customHeight="1" x14ac:dyDescent="0.25">
      <c r="C11" s="473"/>
      <c r="D11" s="473"/>
      <c r="E11" s="473"/>
      <c r="F11" s="473"/>
      <c r="G11" s="587"/>
      <c r="H11" s="472"/>
      <c r="I11" s="473"/>
      <c r="J11" s="473"/>
      <c r="K11" s="473"/>
      <c r="L11" s="473"/>
      <c r="M11" s="473"/>
      <c r="N11" s="473"/>
      <c r="O11" s="473"/>
      <c r="P11" s="473"/>
      <c r="Q11" s="473"/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473"/>
      <c r="AD11" s="473"/>
      <c r="AG11" s="216"/>
    </row>
    <row r="12" spans="2:35" s="86" customFormat="1" ht="15" customHeight="1" x14ac:dyDescent="0.25">
      <c r="C12" s="591" t="s">
        <v>391</v>
      </c>
      <c r="D12" s="586" t="s">
        <v>7</v>
      </c>
      <c r="E12" s="473"/>
      <c r="F12" s="473"/>
      <c r="G12" s="587"/>
      <c r="H12" s="472"/>
      <c r="I12" s="473"/>
      <c r="J12" s="586" t="s">
        <v>14</v>
      </c>
      <c r="K12" s="586" t="s">
        <v>14</v>
      </c>
      <c r="L12" s="473"/>
      <c r="M12" s="586" t="s">
        <v>15</v>
      </c>
      <c r="N12" s="594" t="s">
        <v>13</v>
      </c>
      <c r="O12" s="595"/>
      <c r="P12" s="595"/>
      <c r="Q12" s="595"/>
      <c r="R12" s="596"/>
      <c r="S12" s="473"/>
      <c r="T12" s="591" t="s">
        <v>392</v>
      </c>
      <c r="U12" s="473"/>
      <c r="V12" s="473"/>
      <c r="W12" s="594" t="s">
        <v>15</v>
      </c>
      <c r="X12" s="595"/>
      <c r="Y12" s="596"/>
      <c r="Z12" s="473"/>
      <c r="AA12" s="580" t="s">
        <v>13</v>
      </c>
      <c r="AB12" s="581"/>
      <c r="AC12" s="581"/>
      <c r="AD12" s="582"/>
      <c r="AG12" s="216"/>
    </row>
    <row r="13" spans="2:35" s="86" customFormat="1" ht="14.25" customHeight="1" x14ac:dyDescent="0.25">
      <c r="C13" s="592"/>
      <c r="D13" s="587"/>
      <c r="E13" s="475"/>
      <c r="F13" s="473"/>
      <c r="G13" s="587"/>
      <c r="H13" s="472"/>
      <c r="I13" s="473"/>
      <c r="J13" s="587"/>
      <c r="K13" s="587"/>
      <c r="L13" s="473"/>
      <c r="M13" s="587"/>
      <c r="N13" s="597"/>
      <c r="O13" s="598"/>
      <c r="P13" s="598"/>
      <c r="Q13" s="598"/>
      <c r="R13" s="599"/>
      <c r="S13" s="473"/>
      <c r="T13" s="592"/>
      <c r="U13" s="589"/>
      <c r="V13" s="473"/>
      <c r="W13" s="605"/>
      <c r="X13" s="606"/>
      <c r="Y13" s="607"/>
      <c r="Z13" s="473"/>
      <c r="AA13" s="583"/>
      <c r="AB13" s="584"/>
      <c r="AC13" s="584"/>
      <c r="AD13" s="585"/>
      <c r="AG13" s="216"/>
    </row>
    <row r="14" spans="2:35" s="86" customFormat="1" ht="13.5" hidden="1" customHeight="1" x14ac:dyDescent="0.25">
      <c r="C14" s="592"/>
      <c r="D14" s="587"/>
      <c r="E14" s="475"/>
      <c r="F14" s="473"/>
      <c r="G14" s="587"/>
      <c r="H14" s="473"/>
      <c r="I14" s="473"/>
      <c r="J14" s="587"/>
      <c r="K14" s="587"/>
      <c r="L14" s="473"/>
      <c r="M14" s="587"/>
      <c r="N14" s="586" t="s">
        <v>4</v>
      </c>
      <c r="O14" s="586" t="s">
        <v>4</v>
      </c>
      <c r="P14" s="473"/>
      <c r="Q14" s="594" t="s">
        <v>5</v>
      </c>
      <c r="R14" s="596"/>
      <c r="S14" s="473"/>
      <c r="T14" s="592"/>
      <c r="U14" s="590"/>
      <c r="V14" s="473"/>
      <c r="W14" s="605"/>
      <c r="X14" s="606"/>
      <c r="Y14" s="607"/>
      <c r="Z14" s="473"/>
      <c r="AA14" s="589" t="s">
        <v>4</v>
      </c>
      <c r="AB14" s="473"/>
      <c r="AC14" s="473"/>
      <c r="AD14" s="589" t="s">
        <v>5</v>
      </c>
      <c r="AG14" s="216"/>
    </row>
    <row r="15" spans="2:35" s="86" customFormat="1" ht="18" customHeight="1" x14ac:dyDescent="0.25">
      <c r="C15" s="593"/>
      <c r="D15" s="588"/>
      <c r="E15" s="475"/>
      <c r="F15" s="473"/>
      <c r="G15" s="588"/>
      <c r="H15" s="473"/>
      <c r="I15" s="473"/>
      <c r="J15" s="588"/>
      <c r="K15" s="588"/>
      <c r="L15" s="473"/>
      <c r="M15" s="588"/>
      <c r="N15" s="588"/>
      <c r="O15" s="588"/>
      <c r="P15" s="473"/>
      <c r="Q15" s="597"/>
      <c r="R15" s="599"/>
      <c r="S15" s="473"/>
      <c r="T15" s="593"/>
      <c r="U15" s="473"/>
      <c r="V15" s="473"/>
      <c r="W15" s="597"/>
      <c r="X15" s="598"/>
      <c r="Y15" s="599"/>
      <c r="Z15" s="473"/>
      <c r="AA15" s="590"/>
      <c r="AB15" s="473"/>
      <c r="AC15" s="473"/>
      <c r="AD15" s="590"/>
      <c r="AG15" s="216"/>
    </row>
    <row r="16" spans="2:35" ht="15" x14ac:dyDescent="0.3">
      <c r="C16" s="385" t="s">
        <v>16</v>
      </c>
      <c r="D16" s="442" t="s">
        <v>393</v>
      </c>
      <c r="E16" s="386"/>
      <c r="F16" s="87"/>
      <c r="G16" s="176">
        <v>35287000</v>
      </c>
      <c r="H16" s="176"/>
      <c r="I16" s="176"/>
      <c r="J16" s="176">
        <v>6143000</v>
      </c>
      <c r="K16" s="176"/>
      <c r="L16" s="176"/>
      <c r="M16" s="176">
        <v>6143000</v>
      </c>
      <c r="N16" s="177"/>
      <c r="O16" s="177"/>
      <c r="P16" s="108"/>
      <c r="Q16" s="182"/>
      <c r="R16" s="108"/>
      <c r="S16" s="208"/>
      <c r="T16" s="210">
        <v>6143000</v>
      </c>
      <c r="U16" s="176"/>
      <c r="V16" s="177"/>
      <c r="W16" s="213">
        <v>6143000</v>
      </c>
      <c r="X16" s="210"/>
      <c r="Y16" s="176"/>
      <c r="Z16" s="177"/>
      <c r="AA16" s="181"/>
      <c r="AB16" s="108"/>
      <c r="AC16" s="108"/>
      <c r="AD16" s="182"/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 x14ac:dyDescent="0.3">
      <c r="C17" s="403" t="s">
        <v>17</v>
      </c>
      <c r="D17" s="442" t="s">
        <v>394</v>
      </c>
      <c r="E17" s="405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/>
      <c r="U17" s="179"/>
      <c r="V17" s="179"/>
      <c r="W17" s="214"/>
      <c r="X17" s="211"/>
      <c r="Y17" s="179"/>
      <c r="Z17" s="179"/>
      <c r="AA17" s="179"/>
      <c r="AB17" s="109"/>
      <c r="AC17" s="109"/>
      <c r="AD17" s="111"/>
      <c r="AF17" s="85">
        <v>4</v>
      </c>
      <c r="AG17" s="215" t="str">
        <f t="shared" ref="AG17:AG44" si="0">IF(LEN(D17)&lt;3,"",IF(OR(ABS(AD17)&gt;10,ABS(AA17)&gt;10000000,AND(T17&gt;0,W17=0)),"填寫說明",""))</f>
        <v/>
      </c>
    </row>
    <row r="18" spans="3:33" ht="15" x14ac:dyDescent="0.3">
      <c r="C18" s="406" t="s">
        <v>18</v>
      </c>
      <c r="D18" s="442" t="s">
        <v>395</v>
      </c>
      <c r="E18" s="404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/>
      <c r="U18" s="179"/>
      <c r="V18" s="179"/>
      <c r="W18" s="214"/>
      <c r="X18" s="211"/>
      <c r="Y18" s="179"/>
      <c r="Z18" s="179"/>
      <c r="AA18" s="179"/>
      <c r="AB18" s="109"/>
      <c r="AC18" s="109"/>
      <c r="AD18" s="111"/>
      <c r="AF18" s="85">
        <v>5</v>
      </c>
      <c r="AG18" s="215" t="str">
        <f t="shared" si="0"/>
        <v/>
      </c>
    </row>
    <row r="19" spans="3:33" ht="15" x14ac:dyDescent="0.3">
      <c r="C19" s="403" t="s">
        <v>19</v>
      </c>
      <c r="D19" s="442" t="s">
        <v>396</v>
      </c>
      <c r="E19" s="405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/>
      <c r="U19" s="178"/>
      <c r="V19" s="179"/>
      <c r="W19" s="214"/>
      <c r="X19" s="212"/>
      <c r="Y19" s="178"/>
      <c r="Z19" s="179"/>
      <c r="AA19" s="179"/>
      <c r="AB19" s="109"/>
      <c r="AC19" s="109"/>
      <c r="AD19" s="111"/>
      <c r="AF19" s="85">
        <v>6</v>
      </c>
      <c r="AG19" s="215" t="str">
        <f t="shared" si="0"/>
        <v/>
      </c>
    </row>
    <row r="20" spans="3:33" ht="15" x14ac:dyDescent="0.3">
      <c r="C20" s="406" t="s">
        <v>20</v>
      </c>
      <c r="D20" s="442" t="s">
        <v>397</v>
      </c>
      <c r="E20" s="405"/>
      <c r="F20" s="89"/>
      <c r="G20" s="178">
        <v>1000</v>
      </c>
      <c r="H20" s="178"/>
      <c r="I20" s="178"/>
      <c r="J20" s="178"/>
      <c r="K20" s="179"/>
      <c r="L20" s="179"/>
      <c r="M20" s="179"/>
      <c r="N20" s="179"/>
      <c r="O20" s="179"/>
      <c r="P20" s="109"/>
      <c r="Q20" s="111"/>
      <c r="R20" s="109"/>
      <c r="S20" s="209"/>
      <c r="T20" s="212"/>
      <c r="U20" s="179"/>
      <c r="V20" s="179"/>
      <c r="W20" s="214"/>
      <c r="X20" s="212"/>
      <c r="Y20" s="178"/>
      <c r="Z20" s="178"/>
      <c r="AA20" s="178"/>
      <c r="AB20" s="109"/>
      <c r="AC20" s="111"/>
      <c r="AD20" s="111"/>
      <c r="AF20" s="85">
        <v>8</v>
      </c>
      <c r="AG20" s="215" t="str">
        <f t="shared" si="0"/>
        <v/>
      </c>
    </row>
    <row r="21" spans="3:33" ht="15" x14ac:dyDescent="0.3">
      <c r="C21" s="403" t="s">
        <v>398</v>
      </c>
      <c r="D21" s="442" t="s">
        <v>399</v>
      </c>
      <c r="E21" s="404"/>
      <c r="F21" s="89"/>
      <c r="G21" s="178">
        <v>35266000</v>
      </c>
      <c r="H21" s="178"/>
      <c r="I21" s="178"/>
      <c r="J21" s="178">
        <v>6143000</v>
      </c>
      <c r="K21" s="179"/>
      <c r="L21" s="179"/>
      <c r="M21" s="179">
        <v>6143000</v>
      </c>
      <c r="N21" s="179"/>
      <c r="O21" s="179"/>
      <c r="P21" s="109"/>
      <c r="Q21" s="111"/>
      <c r="R21" s="109"/>
      <c r="S21" s="209"/>
      <c r="T21" s="212">
        <v>6143000</v>
      </c>
      <c r="U21" s="179"/>
      <c r="V21" s="179"/>
      <c r="W21" s="214">
        <v>6143000</v>
      </c>
      <c r="X21" s="212"/>
      <c r="Y21" s="178"/>
      <c r="Z21" s="178"/>
      <c r="AA21" s="178"/>
      <c r="AB21" s="109"/>
      <c r="AC21" s="111"/>
      <c r="AD21" s="111"/>
      <c r="AF21" s="85">
        <v>9</v>
      </c>
      <c r="AG21" s="215" t="str">
        <f t="shared" si="0"/>
        <v/>
      </c>
    </row>
    <row r="22" spans="3:33" ht="15" x14ac:dyDescent="0.3">
      <c r="C22" s="406" t="s">
        <v>22</v>
      </c>
      <c r="D22" s="442" t="s">
        <v>400</v>
      </c>
      <c r="E22" s="405"/>
      <c r="F22" s="89"/>
      <c r="G22" s="178">
        <v>35266000</v>
      </c>
      <c r="H22" s="178"/>
      <c r="I22" s="178"/>
      <c r="J22" s="178">
        <v>6143000</v>
      </c>
      <c r="K22" s="178"/>
      <c r="L22" s="178"/>
      <c r="M22" s="178">
        <v>6143000</v>
      </c>
      <c r="N22" s="178"/>
      <c r="O22" s="178"/>
      <c r="P22" s="110"/>
      <c r="Q22" s="111"/>
      <c r="R22" s="111"/>
      <c r="S22" s="209"/>
      <c r="T22" s="212">
        <v>6143000</v>
      </c>
      <c r="U22" s="178"/>
      <c r="V22" s="179"/>
      <c r="W22" s="214">
        <v>6143000</v>
      </c>
      <c r="X22" s="212"/>
      <c r="Y22" s="178"/>
      <c r="Z22" s="178"/>
      <c r="AA22" s="178"/>
      <c r="AB22" s="109"/>
      <c r="AC22" s="111"/>
      <c r="AD22" s="111"/>
      <c r="AF22" s="85">
        <v>10</v>
      </c>
      <c r="AG22" s="215" t="str">
        <f t="shared" si="0"/>
        <v/>
      </c>
    </row>
    <row r="23" spans="3:33" ht="15" x14ac:dyDescent="0.3">
      <c r="C23" s="174" t="s">
        <v>189</v>
      </c>
      <c r="D23" s="442" t="s">
        <v>401</v>
      </c>
      <c r="E23" s="89"/>
      <c r="F23" s="89"/>
      <c r="G23" s="178">
        <v>10000</v>
      </c>
      <c r="H23" s="178"/>
      <c r="I23" s="178"/>
      <c r="J23" s="178"/>
      <c r="K23" s="178"/>
      <c r="L23" s="178"/>
      <c r="M23" s="178"/>
      <c r="N23" s="178"/>
      <c r="O23" s="178"/>
      <c r="P23" s="110"/>
      <c r="Q23" s="111"/>
      <c r="R23" s="111"/>
      <c r="S23" s="209"/>
      <c r="T23" s="212"/>
      <c r="U23" s="178"/>
      <c r="V23" s="179"/>
      <c r="W23" s="214"/>
      <c r="X23" s="212"/>
      <c r="Y23" s="178"/>
      <c r="Z23" s="178"/>
      <c r="AA23" s="178"/>
      <c r="AB23" s="109"/>
      <c r="AC23" s="111"/>
      <c r="AD23" s="111"/>
      <c r="AF23" s="85">
        <v>11</v>
      </c>
      <c r="AG23" s="215" t="str">
        <f t="shared" si="0"/>
        <v/>
      </c>
    </row>
    <row r="24" spans="3:33" ht="15" x14ac:dyDescent="0.3">
      <c r="C24" s="175" t="s">
        <v>402</v>
      </c>
      <c r="D24" s="442" t="s">
        <v>403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/>
      <c r="U24" s="178"/>
      <c r="V24" s="179"/>
      <c r="W24" s="214"/>
      <c r="X24" s="212"/>
      <c r="Y24" s="178"/>
      <c r="Z24" s="178"/>
      <c r="AA24" s="178"/>
      <c r="AB24" s="109"/>
      <c r="AC24" s="111"/>
      <c r="AD24" s="111"/>
      <c r="AF24" s="85">
        <v>12</v>
      </c>
      <c r="AG24" s="215" t="str">
        <f t="shared" si="0"/>
        <v/>
      </c>
    </row>
    <row r="25" spans="3:33" ht="15" x14ac:dyDescent="0.3">
      <c r="C25" s="170" t="s">
        <v>172</v>
      </c>
      <c r="D25" s="442" t="s">
        <v>404</v>
      </c>
      <c r="E25" s="89"/>
      <c r="F25" s="89"/>
      <c r="G25" s="178">
        <v>36996000</v>
      </c>
      <c r="H25" s="178"/>
      <c r="I25" s="178"/>
      <c r="J25" s="178">
        <v>6972909</v>
      </c>
      <c r="K25" s="178"/>
      <c r="L25" s="178"/>
      <c r="M25" s="179">
        <v>7852000</v>
      </c>
      <c r="N25" s="178">
        <v>-879091</v>
      </c>
      <c r="O25" s="178"/>
      <c r="P25" s="110"/>
      <c r="Q25" s="111">
        <v>-11.195759042282221</v>
      </c>
      <c r="R25" s="109"/>
      <c r="S25" s="109"/>
      <c r="T25" s="178">
        <v>6972909</v>
      </c>
      <c r="U25" s="178"/>
      <c r="V25" s="179"/>
      <c r="W25" s="178">
        <v>7852000</v>
      </c>
      <c r="X25" s="178"/>
      <c r="Y25" s="178"/>
      <c r="Z25" s="178"/>
      <c r="AA25" s="178">
        <v>-879091</v>
      </c>
      <c r="AB25" s="109"/>
      <c r="AC25" s="111"/>
      <c r="AD25" s="111">
        <v>-11.195759042282221</v>
      </c>
      <c r="AF25" s="85">
        <v>13</v>
      </c>
      <c r="AG25" s="215" t="str">
        <f t="shared" si="0"/>
        <v/>
      </c>
    </row>
    <row r="26" spans="3:33" ht="15" x14ac:dyDescent="0.3">
      <c r="C26" s="174" t="s">
        <v>23</v>
      </c>
      <c r="D26" s="442" t="s">
        <v>405</v>
      </c>
      <c r="E26" s="170"/>
      <c r="F26" s="89"/>
      <c r="G26" s="178">
        <v>36996000</v>
      </c>
      <c r="H26" s="178"/>
      <c r="I26" s="178"/>
      <c r="J26" s="178">
        <v>6972909</v>
      </c>
      <c r="K26" s="178"/>
      <c r="L26" s="178"/>
      <c r="M26" s="179">
        <v>7852000</v>
      </c>
      <c r="N26" s="178">
        <v>-879091</v>
      </c>
      <c r="O26" s="178"/>
      <c r="P26" s="110"/>
      <c r="Q26" s="111">
        <v>-11.195759042282221</v>
      </c>
      <c r="R26" s="109"/>
      <c r="S26" s="109"/>
      <c r="T26" s="178">
        <v>6972909</v>
      </c>
      <c r="U26" s="178"/>
      <c r="V26" s="179"/>
      <c r="W26" s="178">
        <v>7852000</v>
      </c>
      <c r="X26" s="178"/>
      <c r="Y26" s="178"/>
      <c r="Z26" s="178"/>
      <c r="AA26" s="178">
        <v>-879091</v>
      </c>
      <c r="AB26" s="109"/>
      <c r="AC26" s="111"/>
      <c r="AD26" s="111">
        <v>-11.195759042282221</v>
      </c>
      <c r="AF26" s="85">
        <v>14</v>
      </c>
      <c r="AG26" s="215" t="str">
        <f t="shared" si="0"/>
        <v/>
      </c>
    </row>
    <row r="27" spans="3:33" ht="15" x14ac:dyDescent="0.3">
      <c r="C27" s="175" t="s">
        <v>24</v>
      </c>
      <c r="D27" s="442" t="s">
        <v>406</v>
      </c>
      <c r="E27" s="89"/>
      <c r="F27" s="89"/>
      <c r="G27" s="178">
        <v>36996000</v>
      </c>
      <c r="H27" s="178"/>
      <c r="I27" s="178"/>
      <c r="J27" s="178">
        <v>6972909</v>
      </c>
      <c r="K27" s="178"/>
      <c r="L27" s="178"/>
      <c r="M27" s="179">
        <v>7852000</v>
      </c>
      <c r="N27" s="178">
        <v>-879091</v>
      </c>
      <c r="O27" s="178"/>
      <c r="P27" s="110"/>
      <c r="Q27" s="111">
        <v>-11.195759042282221</v>
      </c>
      <c r="R27" s="109"/>
      <c r="S27" s="109"/>
      <c r="T27" s="178">
        <v>6972909</v>
      </c>
      <c r="U27" s="178"/>
      <c r="V27" s="179"/>
      <c r="W27" s="178">
        <v>7852000</v>
      </c>
      <c r="X27" s="178"/>
      <c r="Y27" s="178"/>
      <c r="Z27" s="178"/>
      <c r="AA27" s="178">
        <v>-879091</v>
      </c>
      <c r="AB27" s="109"/>
      <c r="AC27" s="111"/>
      <c r="AD27" s="111">
        <v>-11.195759042282221</v>
      </c>
      <c r="AF27" s="85">
        <v>15</v>
      </c>
      <c r="AG27" s="215" t="str">
        <f t="shared" si="0"/>
        <v>填寫說明</v>
      </c>
    </row>
    <row r="28" spans="3:33" ht="15" x14ac:dyDescent="0.3">
      <c r="C28" s="170" t="s">
        <v>171</v>
      </c>
      <c r="D28" s="442" t="s">
        <v>407</v>
      </c>
      <c r="E28" s="89"/>
      <c r="F28" s="89"/>
      <c r="G28" s="178">
        <v>-1709000</v>
      </c>
      <c r="H28" s="178"/>
      <c r="I28" s="178"/>
      <c r="J28" s="178">
        <v>-829909</v>
      </c>
      <c r="K28" s="179"/>
      <c r="L28" s="179"/>
      <c r="M28" s="179">
        <v>-1709000</v>
      </c>
      <c r="N28" s="179">
        <v>879091</v>
      </c>
      <c r="O28" s="179"/>
      <c r="P28" s="109"/>
      <c r="Q28" s="111">
        <v>-51.438911644236399</v>
      </c>
      <c r="R28" s="109"/>
      <c r="S28" s="109"/>
      <c r="T28" s="178">
        <v>-829909</v>
      </c>
      <c r="U28" s="178"/>
      <c r="V28" s="179"/>
      <c r="W28" s="178">
        <v>-1709000</v>
      </c>
      <c r="X28" s="178"/>
      <c r="Y28" s="178"/>
      <c r="Z28" s="178"/>
      <c r="AA28" s="178">
        <v>879091</v>
      </c>
      <c r="AB28" s="109"/>
      <c r="AC28" s="111"/>
      <c r="AD28" s="111">
        <v>-51.438911644236399</v>
      </c>
      <c r="AF28" s="85">
        <v>18</v>
      </c>
      <c r="AG28" s="215" t="str">
        <f t="shared" si="0"/>
        <v/>
      </c>
    </row>
    <row r="29" spans="3:33" ht="15" x14ac:dyDescent="0.3">
      <c r="C29" s="170" t="s">
        <v>26</v>
      </c>
      <c r="D29" s="442" t="s">
        <v>408</v>
      </c>
      <c r="E29" s="89"/>
      <c r="F29" s="89"/>
      <c r="G29" s="178">
        <v>2040762</v>
      </c>
      <c r="H29" s="178"/>
      <c r="I29" s="178"/>
      <c r="J29" s="178"/>
      <c r="K29" s="179"/>
      <c r="L29" s="179"/>
      <c r="M29" s="179"/>
      <c r="N29" s="179"/>
      <c r="O29" s="179"/>
      <c r="P29" s="109"/>
      <c r="Q29" s="111"/>
      <c r="R29" s="109"/>
      <c r="S29" s="109"/>
      <c r="T29" s="178">
        <v>2344442</v>
      </c>
      <c r="U29" s="178"/>
      <c r="V29" s="179"/>
      <c r="W29" s="178">
        <v>2040762</v>
      </c>
      <c r="X29" s="178"/>
      <c r="Y29" s="178"/>
      <c r="Z29" s="178"/>
      <c r="AA29" s="178">
        <v>303680</v>
      </c>
      <c r="AB29" s="109"/>
      <c r="AC29" s="111"/>
      <c r="AD29" s="111">
        <v>14.880716124663241</v>
      </c>
      <c r="AG29" s="215" t="str">
        <f t="shared" si="0"/>
        <v/>
      </c>
    </row>
    <row r="30" spans="3:33" ht="15" x14ac:dyDescent="0.3">
      <c r="C30" s="88" t="s">
        <v>27</v>
      </c>
      <c r="D30" s="442">
        <v>72</v>
      </c>
      <c r="E30" s="89"/>
      <c r="F30" s="89"/>
      <c r="G30" s="178"/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/>
      <c r="U30" s="178"/>
      <c r="V30" s="179"/>
      <c r="W30" s="178"/>
      <c r="X30" s="178"/>
      <c r="Y30" s="178"/>
      <c r="Z30" s="178"/>
      <c r="AA30" s="178"/>
      <c r="AB30" s="109"/>
      <c r="AC30" s="111"/>
      <c r="AD30" s="111"/>
      <c r="AG30" s="215" t="str">
        <f t="shared" si="0"/>
        <v/>
      </c>
    </row>
    <row r="31" spans="3:33" ht="15" x14ac:dyDescent="0.3">
      <c r="C31" s="88" t="s">
        <v>28</v>
      </c>
      <c r="D31" s="442" t="s">
        <v>409</v>
      </c>
      <c r="E31" s="89"/>
      <c r="F31" s="89"/>
      <c r="G31" s="178">
        <v>331762</v>
      </c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>
        <v>1514533</v>
      </c>
      <c r="U31" s="178"/>
      <c r="V31" s="179"/>
      <c r="W31" s="178">
        <v>331762</v>
      </c>
      <c r="X31" s="178"/>
      <c r="Y31" s="178"/>
      <c r="Z31" s="178"/>
      <c r="AA31" s="178">
        <v>1182771</v>
      </c>
      <c r="AB31" s="109"/>
      <c r="AC31" s="111"/>
      <c r="AD31" s="111">
        <v>356.51189708284852</v>
      </c>
      <c r="AG31" s="215" t="str">
        <f t="shared" si="0"/>
        <v/>
      </c>
    </row>
    <row r="32" spans="3:33" ht="15" hidden="1" customHeight="1" x14ac:dyDescent="0.3">
      <c r="C32" s="88"/>
      <c r="D32" s="443"/>
      <c r="E32" s="89"/>
      <c r="F32" s="89"/>
      <c r="G32" s="179"/>
      <c r="H32" s="179"/>
      <c r="I32" s="179"/>
      <c r="J32" s="179"/>
      <c r="K32" s="179"/>
      <c r="L32" s="179"/>
      <c r="M32" s="179"/>
      <c r="N32" s="179"/>
      <c r="O32" s="179"/>
      <c r="P32" s="109"/>
      <c r="Q32" s="109"/>
      <c r="R32" s="109"/>
      <c r="S32" s="109"/>
      <c r="T32" s="179"/>
      <c r="U32" s="179"/>
      <c r="V32" s="179"/>
      <c r="W32" s="179"/>
      <c r="X32" s="179"/>
      <c r="Y32" s="179"/>
      <c r="Z32" s="179"/>
      <c r="AA32" s="179"/>
      <c r="AB32" s="109"/>
      <c r="AC32" s="109"/>
      <c r="AD32" s="109"/>
      <c r="AG32" s="215" t="str">
        <f t="shared" si="0"/>
        <v/>
      </c>
    </row>
    <row r="33" spans="2:33" ht="15" hidden="1" customHeight="1" x14ac:dyDescent="0.3">
      <c r="C33" s="88"/>
      <c r="D33" s="443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 x14ac:dyDescent="0.3">
      <c r="C34" s="88"/>
      <c r="D34" s="443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 x14ac:dyDescent="0.3">
      <c r="C35" s="88"/>
      <c r="D35" s="443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 x14ac:dyDescent="0.3">
      <c r="C36" s="88"/>
      <c r="D36" s="443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 x14ac:dyDescent="0.3">
      <c r="C37" s="88"/>
      <c r="D37" s="443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 x14ac:dyDescent="0.3">
      <c r="C38" s="88"/>
      <c r="D38" s="443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 x14ac:dyDescent="0.3">
      <c r="C39" s="88"/>
      <c r="D39" s="443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 x14ac:dyDescent="0.3">
      <c r="C40" s="88"/>
      <c r="D40" s="443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 x14ac:dyDescent="0.3">
      <c r="C41" s="88"/>
      <c r="D41" s="443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 x14ac:dyDescent="0.3">
      <c r="C42" s="88"/>
      <c r="D42" s="443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x14ac:dyDescent="0.3">
      <c r="C43" s="88"/>
      <c r="D43" s="443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 x14ac:dyDescent="0.25">
      <c r="C44" s="172"/>
      <c r="D44" s="444"/>
      <c r="E44" s="173"/>
      <c r="F44" s="173"/>
      <c r="G44" s="180"/>
      <c r="H44" s="180"/>
      <c r="I44" s="180"/>
      <c r="J44" s="180"/>
      <c r="K44" s="180"/>
      <c r="L44" s="180"/>
      <c r="M44" s="180"/>
      <c r="N44" s="180"/>
      <c r="O44" s="180"/>
      <c r="P44" s="112"/>
      <c r="Q44" s="112"/>
      <c r="R44" s="112"/>
      <c r="S44" s="112"/>
      <c r="T44" s="180"/>
      <c r="U44" s="180"/>
      <c r="V44" s="180"/>
      <c r="W44" s="180"/>
      <c r="X44" s="180"/>
      <c r="Y44" s="180"/>
      <c r="Z44" s="180"/>
      <c r="AA44" s="180"/>
      <c r="AB44" s="112"/>
      <c r="AC44" s="112"/>
      <c r="AD44" s="112"/>
      <c r="AG44" s="215" t="str">
        <f t="shared" si="0"/>
        <v/>
      </c>
    </row>
    <row r="45" spans="2:33" ht="7.5" customHeight="1" x14ac:dyDescent="0.25"/>
    <row r="46" spans="2:33" ht="12" customHeight="1" x14ac:dyDescent="0.25">
      <c r="B46" s="171"/>
    </row>
    <row r="47" spans="2:33" ht="43.5" customHeight="1" x14ac:dyDescent="0.25"/>
  </sheetData>
  <sortState ref="A16:AM48">
    <sortCondition ref="AF16:AF48"/>
  </sortState>
  <mergeCells count="24">
    <mergeCell ref="C12:C15"/>
    <mergeCell ref="D12:D15"/>
    <mergeCell ref="W12:Y15"/>
    <mergeCell ref="AD14:AD15"/>
    <mergeCell ref="C9:D10"/>
    <mergeCell ref="T9:AD10"/>
    <mergeCell ref="O14:O15"/>
    <mergeCell ref="Q14:R15"/>
    <mergeCell ref="AE1:AI2"/>
    <mergeCell ref="B4:AD4"/>
    <mergeCell ref="C5:AD6"/>
    <mergeCell ref="Y7:AD7"/>
    <mergeCell ref="C2:AD3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9" type="noConversion"/>
  <conditionalFormatting sqref="T16:T24">
    <cfRule type="expression" dxfId="6" priority="12">
      <formula>AND(T16&gt;0,W16=0)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9"/>
  <sheetViews>
    <sheetView showGridLines="0" showZeros="0" showOutlineSymbols="0" view="pageBreakPreview" topLeftCell="A2" zoomScaleSheetLayoutView="100" workbookViewId="0">
      <selection activeCell="D49" sqref="D49"/>
    </sheetView>
  </sheetViews>
  <sheetFormatPr defaultColWidth="6.88671875" defaultRowHeight="13.2" x14ac:dyDescent="0.25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 x14ac:dyDescent="0.25"/>
    <row r="2" spans="1:22" ht="22.2" x14ac:dyDescent="0.25">
      <c r="A2" s="608" t="str">
        <f>封面!$A$4</f>
        <v>彰化縣地方教育發展基金－彰化縣秀水鄉馬興國民小學</v>
      </c>
      <c r="B2" s="608"/>
      <c r="C2" s="608"/>
      <c r="D2" s="608"/>
      <c r="E2" s="608"/>
      <c r="F2" s="608"/>
      <c r="G2" s="608"/>
      <c r="H2" s="608"/>
      <c r="I2" s="608"/>
      <c r="J2" s="608"/>
      <c r="K2" s="608"/>
      <c r="L2" s="608"/>
      <c r="M2" s="608"/>
      <c r="N2" s="608"/>
      <c r="O2" s="608"/>
      <c r="P2" s="608"/>
      <c r="Q2" s="608"/>
      <c r="R2" s="608"/>
      <c r="S2" s="608"/>
      <c r="T2" s="608"/>
      <c r="U2" s="608"/>
      <c r="V2" s="608"/>
    </row>
    <row r="3" spans="1:22" ht="22.2" x14ac:dyDescent="0.25">
      <c r="A3" s="610" t="s">
        <v>0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</row>
    <row r="4" spans="1:22" ht="19.8" x14ac:dyDescent="0.25">
      <c r="A4" s="611" t="str">
        <f>封面!$E$10&amp;封面!$H$10&amp;封面!$I$10&amp;封面!$J$10&amp;封面!$K$10&amp;封面!$O$10&amp;"日"</f>
        <v>中華民國111年1月31日</v>
      </c>
      <c r="B4" s="611"/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  <c r="N4" s="611"/>
      <c r="O4" s="611"/>
      <c r="P4" s="611"/>
      <c r="Q4" s="611"/>
      <c r="R4" s="611"/>
      <c r="S4" s="611"/>
      <c r="T4" s="611"/>
      <c r="U4" s="611"/>
      <c r="V4" s="611"/>
    </row>
    <row r="5" spans="1:22" ht="2.25" customHeight="1" x14ac:dyDescent="0.25"/>
    <row r="6" spans="1:22" ht="15.75" customHeight="1" x14ac:dyDescent="0.25">
      <c r="A6" s="609" t="s">
        <v>1</v>
      </c>
      <c r="B6" s="609"/>
      <c r="C6" s="609"/>
      <c r="D6" s="609"/>
      <c r="E6" s="609"/>
      <c r="F6" s="609"/>
      <c r="G6" s="609"/>
      <c r="H6" s="609"/>
      <c r="I6" s="609"/>
      <c r="J6" s="609"/>
      <c r="K6" s="609"/>
      <c r="L6" s="609"/>
      <c r="M6" s="609"/>
      <c r="N6" s="609"/>
      <c r="O6" s="609"/>
      <c r="P6" s="609"/>
      <c r="Q6" s="609"/>
      <c r="R6" s="609"/>
      <c r="S6" s="609"/>
      <c r="T6" s="609"/>
      <c r="U6" s="609"/>
      <c r="V6" s="609"/>
    </row>
    <row r="7" spans="1:22" ht="2.25" customHeight="1" x14ac:dyDescent="0.25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 x14ac:dyDescent="0.25">
      <c r="A8" s="612" t="s">
        <v>2</v>
      </c>
      <c r="B8" s="612"/>
      <c r="C8" s="612"/>
      <c r="D8" s="612"/>
      <c r="E8" s="612"/>
      <c r="F8" s="612"/>
      <c r="G8" s="338"/>
      <c r="H8" s="1"/>
      <c r="I8" s="1"/>
      <c r="J8" s="462"/>
      <c r="K8" s="613" t="s">
        <v>3</v>
      </c>
      <c r="L8" s="613"/>
      <c r="M8" s="613"/>
      <c r="N8" s="613"/>
      <c r="O8" s="613"/>
      <c r="P8" s="613"/>
      <c r="Q8" s="614"/>
      <c r="R8" s="338"/>
      <c r="S8" s="338"/>
      <c r="T8" s="338"/>
      <c r="U8" s="1"/>
      <c r="V8" s="1"/>
    </row>
    <row r="9" spans="1:22" ht="18" customHeight="1" x14ac:dyDescent="0.25">
      <c r="A9" s="612"/>
      <c r="B9" s="612"/>
      <c r="C9" s="612"/>
      <c r="D9" s="612"/>
      <c r="E9" s="612"/>
      <c r="F9" s="612"/>
      <c r="G9" s="338"/>
      <c r="H9" s="612" t="s">
        <v>4</v>
      </c>
      <c r="I9" s="612" t="s">
        <v>5</v>
      </c>
      <c r="J9" s="462"/>
      <c r="K9" s="613"/>
      <c r="L9" s="613"/>
      <c r="M9" s="613"/>
      <c r="N9" s="613"/>
      <c r="O9" s="613"/>
      <c r="P9" s="613"/>
      <c r="Q9" s="614"/>
      <c r="R9" s="338"/>
      <c r="S9" s="338"/>
      <c r="T9" s="619" t="s">
        <v>4</v>
      </c>
      <c r="U9" s="620"/>
      <c r="V9" s="612" t="s">
        <v>5</v>
      </c>
    </row>
    <row r="10" spans="1:22" ht="15" hidden="1" customHeight="1" x14ac:dyDescent="0.25">
      <c r="A10" s="1"/>
      <c r="B10" s="1"/>
      <c r="C10" s="1"/>
      <c r="D10" s="1"/>
      <c r="E10" s="1"/>
      <c r="F10" s="1"/>
      <c r="G10" s="1"/>
      <c r="H10" s="612"/>
      <c r="I10" s="612"/>
      <c r="J10" s="1"/>
      <c r="K10" s="1"/>
      <c r="L10" s="1"/>
      <c r="M10" s="1"/>
      <c r="N10" s="1"/>
      <c r="O10" s="1"/>
      <c r="P10" s="1"/>
      <c r="Q10" s="1"/>
      <c r="R10" s="1"/>
      <c r="S10" s="1"/>
      <c r="T10" s="621"/>
      <c r="U10" s="621"/>
      <c r="V10" s="612"/>
    </row>
    <row r="11" spans="1:22" ht="18" customHeight="1" x14ac:dyDescent="0.25">
      <c r="A11" s="612" t="s">
        <v>6</v>
      </c>
      <c r="B11" s="612"/>
      <c r="C11" s="612"/>
      <c r="D11" s="612"/>
      <c r="E11" s="612"/>
      <c r="F11" s="612" t="s">
        <v>7</v>
      </c>
      <c r="G11" s="338"/>
      <c r="H11" s="612"/>
      <c r="I11" s="612"/>
      <c r="J11" s="462"/>
      <c r="K11" s="613" t="s">
        <v>6</v>
      </c>
      <c r="L11" s="613"/>
      <c r="M11" s="613"/>
      <c r="N11" s="613"/>
      <c r="O11" s="614"/>
      <c r="P11" s="338"/>
      <c r="Q11" s="612" t="s">
        <v>7</v>
      </c>
      <c r="R11" s="338"/>
      <c r="S11" s="338"/>
      <c r="T11" s="622"/>
      <c r="U11" s="622"/>
      <c r="V11" s="612"/>
    </row>
    <row r="12" spans="1:22" ht="13.8" hidden="1" x14ac:dyDescent="0.25">
      <c r="A12" s="612"/>
      <c r="B12" s="612"/>
      <c r="C12" s="612"/>
      <c r="D12" s="612"/>
      <c r="E12" s="612"/>
      <c r="F12" s="612"/>
      <c r="G12" s="338"/>
      <c r="H12" s="1"/>
      <c r="I12" s="1"/>
      <c r="J12" s="462"/>
      <c r="K12" s="613"/>
      <c r="L12" s="613"/>
      <c r="M12" s="613"/>
      <c r="N12" s="613"/>
      <c r="O12" s="614"/>
      <c r="P12" s="338"/>
      <c r="Q12" s="612"/>
      <c r="R12" s="338"/>
      <c r="S12" s="338"/>
      <c r="T12" s="338"/>
      <c r="U12" s="1"/>
      <c r="V12" s="1"/>
    </row>
    <row r="13" spans="1:22" ht="14.25" customHeight="1" x14ac:dyDescent="0.25">
      <c r="A13" s="123" t="s">
        <v>464</v>
      </c>
      <c r="B13" s="124"/>
      <c r="C13" s="401"/>
      <c r="D13" s="401"/>
      <c r="E13" s="402"/>
      <c r="F13" s="126" t="s">
        <v>465</v>
      </c>
      <c r="G13" s="126"/>
      <c r="H13" s="127">
        <v>103580234</v>
      </c>
      <c r="I13" s="334">
        <v>100</v>
      </c>
      <c r="J13" s="463" t="s">
        <v>508</v>
      </c>
      <c r="K13" s="124"/>
      <c r="L13" s="124"/>
      <c r="M13" s="124"/>
      <c r="N13" s="124"/>
      <c r="O13" s="125"/>
      <c r="P13" s="125"/>
      <c r="Q13" s="128" t="s">
        <v>518</v>
      </c>
      <c r="R13" s="126"/>
      <c r="S13" s="126"/>
      <c r="T13" s="623">
        <v>59178429</v>
      </c>
      <c r="U13" s="624"/>
      <c r="V13" s="505">
        <v>57.132936193212309</v>
      </c>
    </row>
    <row r="14" spans="1:22" ht="14.25" customHeight="1" x14ac:dyDescent="0.25">
      <c r="A14" s="347"/>
      <c r="B14" s="130" t="s">
        <v>466</v>
      </c>
      <c r="C14" s="383"/>
      <c r="D14" s="383"/>
      <c r="E14" s="384"/>
      <c r="F14" s="136" t="s">
        <v>467</v>
      </c>
      <c r="G14" s="136"/>
      <c r="H14" s="133">
        <v>60692962</v>
      </c>
      <c r="I14" s="335">
        <v>58.595119605541733</v>
      </c>
      <c r="J14" s="140"/>
      <c r="K14" s="130" t="s">
        <v>509</v>
      </c>
      <c r="L14" s="130"/>
      <c r="M14" s="130"/>
      <c r="N14" s="130"/>
      <c r="O14" s="131"/>
      <c r="P14" s="131"/>
      <c r="Q14" s="134" t="s">
        <v>519</v>
      </c>
      <c r="R14" s="136"/>
      <c r="S14" s="136"/>
      <c r="T14" s="617">
        <v>54016814</v>
      </c>
      <c r="U14" s="618"/>
      <c r="V14" s="506">
        <v>52.149731579096454</v>
      </c>
    </row>
    <row r="15" spans="1:22" ht="14.25" customHeight="1" x14ac:dyDescent="0.25">
      <c r="A15" s="347"/>
      <c r="B15" s="130"/>
      <c r="C15" s="383" t="s">
        <v>468</v>
      </c>
      <c r="D15" s="383"/>
      <c r="E15" s="384"/>
      <c r="F15" s="136" t="s">
        <v>469</v>
      </c>
      <c r="G15" s="136"/>
      <c r="H15" s="133">
        <v>60647292</v>
      </c>
      <c r="I15" s="335">
        <v>58.551028181689574</v>
      </c>
      <c r="J15" s="140"/>
      <c r="K15" s="130"/>
      <c r="L15" s="130" t="s">
        <v>510</v>
      </c>
      <c r="M15" s="130"/>
      <c r="N15" s="130"/>
      <c r="O15" s="131"/>
      <c r="P15" s="131"/>
      <c r="Q15" s="134" t="s">
        <v>520</v>
      </c>
      <c r="R15" s="136"/>
      <c r="S15" s="136"/>
      <c r="T15" s="617">
        <v>54016814</v>
      </c>
      <c r="U15" s="618"/>
      <c r="V15" s="506">
        <v>52.149731579096454</v>
      </c>
    </row>
    <row r="16" spans="1:22" ht="14.25" customHeight="1" x14ac:dyDescent="0.25">
      <c r="A16" s="347"/>
      <c r="B16" s="130"/>
      <c r="C16" s="383"/>
      <c r="D16" s="383" t="s">
        <v>470</v>
      </c>
      <c r="E16" s="384"/>
      <c r="F16" s="136" t="s">
        <v>471</v>
      </c>
      <c r="G16" s="136"/>
      <c r="H16" s="133">
        <v>60607292</v>
      </c>
      <c r="I16" s="335">
        <v>58.512410775206398</v>
      </c>
      <c r="J16" s="140"/>
      <c r="K16" s="130"/>
      <c r="L16" s="130"/>
      <c r="M16" s="130" t="s">
        <v>511</v>
      </c>
      <c r="N16" s="130"/>
      <c r="O16" s="131"/>
      <c r="P16" s="131"/>
      <c r="Q16" s="134" t="s">
        <v>521</v>
      </c>
      <c r="R16" s="136"/>
      <c r="S16" s="136"/>
      <c r="T16" s="617">
        <v>54016814</v>
      </c>
      <c r="U16" s="618"/>
      <c r="V16" s="506">
        <v>52.149731579096454</v>
      </c>
    </row>
    <row r="17" spans="1:22" ht="14.25" customHeight="1" x14ac:dyDescent="0.25">
      <c r="A17" s="347"/>
      <c r="B17" s="130"/>
      <c r="C17" s="383"/>
      <c r="D17" s="383"/>
      <c r="E17" s="384" t="s">
        <v>472</v>
      </c>
      <c r="F17" s="136" t="s">
        <v>473</v>
      </c>
      <c r="G17" s="136"/>
      <c r="H17" s="133">
        <v>1474533</v>
      </c>
      <c r="I17" s="335">
        <v>1.4235660058462505</v>
      </c>
      <c r="J17" s="140"/>
      <c r="K17" s="130" t="s">
        <v>512</v>
      </c>
      <c r="L17" s="130"/>
      <c r="M17" s="130"/>
      <c r="N17" s="130"/>
      <c r="O17" s="131"/>
      <c r="P17" s="131"/>
      <c r="Q17" s="134" t="s">
        <v>522</v>
      </c>
      <c r="R17" s="136"/>
      <c r="S17" s="136"/>
      <c r="T17" s="617">
        <v>5161615</v>
      </c>
      <c r="U17" s="618"/>
      <c r="V17" s="506">
        <v>4.9832046141158557</v>
      </c>
    </row>
    <row r="18" spans="1:22" ht="14.25" customHeight="1" x14ac:dyDescent="0.25">
      <c r="A18" s="347"/>
      <c r="B18" s="130"/>
      <c r="C18" s="383"/>
      <c r="D18" s="383"/>
      <c r="E18" s="384" t="s">
        <v>474</v>
      </c>
      <c r="F18" s="136" t="s">
        <v>475</v>
      </c>
      <c r="G18" s="136"/>
      <c r="H18" s="133">
        <v>59132759</v>
      </c>
      <c r="I18" s="335">
        <v>57.088844769360151</v>
      </c>
      <c r="J18" s="140"/>
      <c r="K18" s="130"/>
      <c r="L18" s="130" t="s">
        <v>513</v>
      </c>
      <c r="M18" s="130"/>
      <c r="N18" s="130"/>
      <c r="O18" s="131"/>
      <c r="P18" s="131"/>
      <c r="Q18" s="134" t="s">
        <v>523</v>
      </c>
      <c r="R18" s="136"/>
      <c r="S18" s="136"/>
      <c r="T18" s="617">
        <v>5161615</v>
      </c>
      <c r="U18" s="618"/>
      <c r="V18" s="506">
        <v>4.9832046141158557</v>
      </c>
    </row>
    <row r="19" spans="1:22" ht="14.25" customHeight="1" x14ac:dyDescent="0.25">
      <c r="A19" s="347"/>
      <c r="B19" s="130"/>
      <c r="C19" s="383"/>
      <c r="D19" s="383" t="s">
        <v>476</v>
      </c>
      <c r="E19" s="384"/>
      <c r="F19" s="136" t="s">
        <v>477</v>
      </c>
      <c r="G19" s="136"/>
      <c r="H19" s="133">
        <v>40000</v>
      </c>
      <c r="I19" s="335">
        <v>3.8617406483171295E-2</v>
      </c>
      <c r="J19" s="140"/>
      <c r="K19" s="130"/>
      <c r="L19" s="130"/>
      <c r="M19" s="130" t="s">
        <v>514</v>
      </c>
      <c r="N19" s="130"/>
      <c r="O19" s="131"/>
      <c r="P19" s="131"/>
      <c r="Q19" s="134" t="s">
        <v>524</v>
      </c>
      <c r="R19" s="136"/>
      <c r="S19" s="136"/>
      <c r="T19" s="617">
        <v>5161615</v>
      </c>
      <c r="U19" s="618"/>
      <c r="V19" s="506">
        <v>4.9832046141158557</v>
      </c>
    </row>
    <row r="20" spans="1:22" ht="14.25" customHeight="1" x14ac:dyDescent="0.25">
      <c r="A20" s="347"/>
      <c r="B20" s="130"/>
      <c r="C20" s="383" t="s">
        <v>478</v>
      </c>
      <c r="D20" s="383"/>
      <c r="E20" s="384"/>
      <c r="F20" s="136" t="s">
        <v>479</v>
      </c>
      <c r="G20" s="136"/>
      <c r="H20" s="133">
        <v>45670</v>
      </c>
      <c r="I20" s="335">
        <v>4.4091423852160826E-2</v>
      </c>
      <c r="J20" s="140" t="s">
        <v>515</v>
      </c>
      <c r="K20" s="130"/>
      <c r="L20" s="130"/>
      <c r="M20" s="130"/>
      <c r="N20" s="130"/>
      <c r="O20" s="131"/>
      <c r="P20" s="131"/>
      <c r="Q20" s="134" t="s">
        <v>525</v>
      </c>
      <c r="R20" s="136"/>
      <c r="S20" s="136"/>
      <c r="T20" s="617">
        <v>44401805</v>
      </c>
      <c r="U20" s="618"/>
      <c r="V20" s="506">
        <v>42.867063806787691</v>
      </c>
    </row>
    <row r="21" spans="1:22" ht="14.25" hidden="1" customHeight="1" x14ac:dyDescent="0.25">
      <c r="A21" s="347"/>
      <c r="B21" s="130"/>
      <c r="C21" s="383"/>
      <c r="D21" s="383"/>
      <c r="E21" s="384"/>
      <c r="F21" s="136"/>
      <c r="G21" s="136"/>
      <c r="H21" s="133"/>
      <c r="I21" s="335"/>
      <c r="J21" s="140"/>
      <c r="K21" s="130"/>
      <c r="L21" s="130"/>
      <c r="M21" s="130"/>
      <c r="N21" s="130"/>
      <c r="O21" s="131"/>
      <c r="P21" s="131"/>
      <c r="Q21" s="134"/>
      <c r="R21" s="136"/>
      <c r="S21" s="136"/>
      <c r="T21" s="617"/>
      <c r="U21" s="618"/>
      <c r="V21" s="506"/>
    </row>
    <row r="22" spans="1:22" ht="14.25" customHeight="1" x14ac:dyDescent="0.25">
      <c r="A22" s="347"/>
      <c r="B22" s="130"/>
      <c r="C22" s="383"/>
      <c r="D22" s="383" t="s">
        <v>480</v>
      </c>
      <c r="E22" s="384"/>
      <c r="F22" s="136" t="s">
        <v>481</v>
      </c>
      <c r="G22" s="136"/>
      <c r="H22" s="133">
        <v>45670</v>
      </c>
      <c r="I22" s="335">
        <v>4.4091423852160826E-2</v>
      </c>
      <c r="J22" s="140"/>
      <c r="K22" s="130" t="s">
        <v>515</v>
      </c>
      <c r="L22" s="130"/>
      <c r="M22" s="130"/>
      <c r="N22" s="130"/>
      <c r="O22" s="131"/>
      <c r="P22" s="131"/>
      <c r="Q22" s="134" t="s">
        <v>526</v>
      </c>
      <c r="R22" s="136"/>
      <c r="S22" s="136"/>
      <c r="T22" s="617">
        <v>44401805</v>
      </c>
      <c r="U22" s="618"/>
      <c r="V22" s="506">
        <v>42.867063806787691</v>
      </c>
    </row>
    <row r="23" spans="1:22" ht="14.25" hidden="1" customHeight="1" x14ac:dyDescent="0.25">
      <c r="A23" s="347"/>
      <c r="B23" s="130"/>
      <c r="C23" s="130"/>
      <c r="D23" s="130"/>
      <c r="E23" s="131"/>
      <c r="F23" s="136"/>
      <c r="G23" s="136"/>
      <c r="H23" s="133"/>
      <c r="I23" s="335"/>
      <c r="J23" s="140"/>
      <c r="K23" s="130"/>
      <c r="L23" s="130"/>
      <c r="M23" s="130"/>
      <c r="N23" s="130"/>
      <c r="O23" s="131"/>
      <c r="P23" s="131"/>
      <c r="Q23" s="134"/>
      <c r="R23" s="136"/>
      <c r="S23" s="136"/>
      <c r="V23" s="506"/>
    </row>
    <row r="24" spans="1:22" ht="14.25" customHeight="1" x14ac:dyDescent="0.25">
      <c r="A24" s="347"/>
      <c r="B24" s="130" t="s">
        <v>482</v>
      </c>
      <c r="C24" s="130"/>
      <c r="D24" s="130"/>
      <c r="E24" s="131"/>
      <c r="F24" s="136" t="s">
        <v>483</v>
      </c>
      <c r="G24" s="136"/>
      <c r="H24" s="133">
        <v>42887272</v>
      </c>
      <c r="I24" s="335">
        <v>41.404880394458274</v>
      </c>
      <c r="J24" s="140"/>
      <c r="K24" s="130"/>
      <c r="L24" s="130" t="s">
        <v>515</v>
      </c>
      <c r="M24" s="130"/>
      <c r="N24" s="130"/>
      <c r="O24" s="131"/>
      <c r="P24" s="131"/>
      <c r="Q24" s="134" t="s">
        <v>527</v>
      </c>
      <c r="R24" s="136"/>
      <c r="S24" s="136"/>
      <c r="T24" s="617">
        <v>44401805</v>
      </c>
      <c r="U24" s="618"/>
      <c r="V24" s="506">
        <v>42.867063806787691</v>
      </c>
    </row>
    <row r="25" spans="1:22" ht="15" customHeight="1" x14ac:dyDescent="0.25">
      <c r="A25" s="129"/>
      <c r="B25" s="130"/>
      <c r="C25" s="130" t="s">
        <v>46</v>
      </c>
      <c r="D25" s="130"/>
      <c r="E25" s="131"/>
      <c r="F25" s="132" t="s">
        <v>484</v>
      </c>
      <c r="G25" s="132"/>
      <c r="H25" s="133">
        <v>11027358</v>
      </c>
      <c r="I25" s="335">
        <v>10.64619915803627</v>
      </c>
      <c r="J25" s="140"/>
      <c r="K25" s="135"/>
      <c r="L25" s="130"/>
      <c r="M25" s="130" t="s">
        <v>516</v>
      </c>
      <c r="N25" s="130"/>
      <c r="O25" s="131"/>
      <c r="P25" s="131"/>
      <c r="Q25" s="134" t="s">
        <v>528</v>
      </c>
      <c r="R25" s="136"/>
      <c r="S25" s="136"/>
      <c r="T25" s="617">
        <v>42531681</v>
      </c>
      <c r="U25" s="618"/>
      <c r="V25" s="506">
        <v>41.061580339739336</v>
      </c>
    </row>
    <row r="26" spans="1:22" ht="15" hidden="1" customHeight="1" x14ac:dyDescent="0.25">
      <c r="A26" s="129"/>
      <c r="B26" s="130"/>
      <c r="C26" s="130"/>
      <c r="D26" s="130"/>
      <c r="E26" s="131"/>
      <c r="F26" s="132"/>
      <c r="G26" s="132"/>
      <c r="H26" s="133"/>
      <c r="I26" s="335"/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617"/>
      <c r="U26" s="618"/>
      <c r="V26" s="506"/>
    </row>
    <row r="27" spans="1:22" ht="15" customHeight="1" x14ac:dyDescent="0.25">
      <c r="A27" s="129"/>
      <c r="B27" s="130"/>
      <c r="C27" s="130"/>
      <c r="D27" s="130" t="s">
        <v>46</v>
      </c>
      <c r="E27" s="131"/>
      <c r="F27" s="132" t="s">
        <v>485</v>
      </c>
      <c r="G27" s="132"/>
      <c r="H27" s="133">
        <v>11027358</v>
      </c>
      <c r="I27" s="335">
        <v>10.64619915803627</v>
      </c>
      <c r="J27" s="140"/>
      <c r="K27" s="135"/>
      <c r="L27" s="130"/>
      <c r="M27" s="130" t="s">
        <v>517</v>
      </c>
      <c r="N27" s="130"/>
      <c r="O27" s="131"/>
      <c r="P27" s="131"/>
      <c r="Q27" s="134" t="s">
        <v>529</v>
      </c>
      <c r="R27" s="136"/>
      <c r="S27" s="136"/>
      <c r="T27" s="617">
        <v>1870124</v>
      </c>
      <c r="U27" s="618"/>
      <c r="V27" s="506">
        <v>1.8054834670483562</v>
      </c>
    </row>
    <row r="28" spans="1:22" ht="15" customHeight="1" x14ac:dyDescent="0.25">
      <c r="A28" s="129"/>
      <c r="B28" s="130"/>
      <c r="C28" s="130" t="s">
        <v>47</v>
      </c>
      <c r="D28" s="130"/>
      <c r="E28" s="131"/>
      <c r="F28" s="132" t="s">
        <v>486</v>
      </c>
      <c r="G28" s="132"/>
      <c r="H28" s="133">
        <v>3102150</v>
      </c>
      <c r="I28" s="335">
        <v>2.9949246880442462</v>
      </c>
      <c r="J28" s="140" t="s">
        <v>507</v>
      </c>
      <c r="K28" s="135"/>
      <c r="L28" s="130"/>
      <c r="M28" s="130"/>
      <c r="N28" s="130"/>
      <c r="O28" s="131"/>
      <c r="P28" s="131"/>
      <c r="Q28" s="134"/>
      <c r="R28" s="136"/>
      <c r="S28" s="136"/>
      <c r="T28" s="617">
        <v>103580234</v>
      </c>
      <c r="U28" s="618"/>
      <c r="V28" s="506">
        <f>[2]Sheet1!V29</f>
        <v>0</v>
      </c>
    </row>
    <row r="29" spans="1:22" ht="15" customHeight="1" x14ac:dyDescent="0.25">
      <c r="A29" s="129"/>
      <c r="B29" s="130"/>
      <c r="C29" s="130"/>
      <c r="D29" s="130" t="s">
        <v>47</v>
      </c>
      <c r="E29" s="131"/>
      <c r="F29" s="132" t="s">
        <v>487</v>
      </c>
      <c r="G29" s="132"/>
      <c r="H29" s="133">
        <v>5137300</v>
      </c>
      <c r="I29" s="335">
        <v>4.9597300581498978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15"/>
      <c r="U29" s="616"/>
      <c r="V29" s="506"/>
    </row>
    <row r="30" spans="1:22" ht="15" customHeight="1" x14ac:dyDescent="0.25">
      <c r="A30" s="129"/>
      <c r="B30" s="130"/>
      <c r="C30" s="130"/>
      <c r="D30" s="130" t="s">
        <v>488</v>
      </c>
      <c r="E30" s="131"/>
      <c r="F30" s="132" t="s">
        <v>489</v>
      </c>
      <c r="G30" s="132"/>
      <c r="H30" s="133">
        <v>-2035150</v>
      </c>
      <c r="I30" s="335">
        <v>-1.9648053701056518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15"/>
      <c r="U30" s="616"/>
      <c r="V30" s="506"/>
    </row>
    <row r="31" spans="1:22" ht="15" customHeight="1" x14ac:dyDescent="0.25">
      <c r="A31" s="129"/>
      <c r="B31" s="130"/>
      <c r="C31" s="130" t="s">
        <v>490</v>
      </c>
      <c r="D31" s="130"/>
      <c r="E31" s="131"/>
      <c r="F31" s="132" t="s">
        <v>491</v>
      </c>
      <c r="G31" s="132"/>
      <c r="H31" s="133">
        <v>23348204</v>
      </c>
      <c r="I31" s="335">
        <v>22.541177113000149</v>
      </c>
      <c r="J31" s="140"/>
      <c r="K31" s="135"/>
      <c r="L31" s="130"/>
      <c r="M31" s="130"/>
      <c r="N31" s="130"/>
      <c r="O31" s="131"/>
      <c r="P31" s="131"/>
      <c r="Q31" s="134"/>
      <c r="R31" s="136"/>
      <c r="S31" s="136"/>
      <c r="T31" s="615"/>
      <c r="U31" s="616"/>
      <c r="V31" s="506"/>
    </row>
    <row r="32" spans="1:22" ht="15" hidden="1" customHeight="1" x14ac:dyDescent="0.25">
      <c r="A32" s="129"/>
      <c r="B32" s="130"/>
      <c r="C32" s="130"/>
      <c r="D32" s="130"/>
      <c r="E32" s="131"/>
      <c r="F32" s="132"/>
      <c r="G32" s="132"/>
      <c r="H32" s="133"/>
      <c r="I32" s="335"/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15"/>
      <c r="U32" s="616"/>
      <c r="V32" s="506"/>
    </row>
    <row r="33" spans="1:22" ht="15" customHeight="1" x14ac:dyDescent="0.25">
      <c r="A33" s="129"/>
      <c r="B33" s="130"/>
      <c r="C33" s="130"/>
      <c r="D33" s="130" t="s">
        <v>490</v>
      </c>
      <c r="E33" s="131"/>
      <c r="F33" s="132" t="s">
        <v>492</v>
      </c>
      <c r="G33" s="132"/>
      <c r="H33" s="133">
        <v>48499250</v>
      </c>
      <c r="I33" s="335">
        <v>46.822881284473645</v>
      </c>
      <c r="J33" s="140"/>
      <c r="K33" s="135"/>
      <c r="L33" s="130"/>
      <c r="M33" s="130"/>
      <c r="N33" s="130"/>
      <c r="O33" s="131"/>
      <c r="P33" s="131"/>
      <c r="Q33" s="134"/>
      <c r="R33" s="136"/>
      <c r="S33" s="136"/>
      <c r="T33" s="615"/>
      <c r="U33" s="616"/>
      <c r="V33" s="506"/>
    </row>
    <row r="34" spans="1:22" ht="15" customHeight="1" x14ac:dyDescent="0.25">
      <c r="A34" s="129"/>
      <c r="B34" s="130"/>
      <c r="C34" s="130"/>
      <c r="D34" s="130" t="s">
        <v>493</v>
      </c>
      <c r="E34" s="131"/>
      <c r="F34" s="132" t="s">
        <v>494</v>
      </c>
      <c r="G34" s="132"/>
      <c r="H34" s="133">
        <v>-25151046</v>
      </c>
      <c r="I34" s="335">
        <v>-24.281704171473489</v>
      </c>
      <c r="J34" s="140"/>
      <c r="K34" s="135"/>
      <c r="L34" s="130"/>
      <c r="M34" s="130"/>
      <c r="N34" s="130"/>
      <c r="O34" s="131"/>
      <c r="P34" s="131"/>
      <c r="Q34" s="134"/>
      <c r="R34" s="136"/>
      <c r="S34" s="136"/>
      <c r="T34" s="615"/>
      <c r="U34" s="616"/>
      <c r="V34" s="506"/>
    </row>
    <row r="35" spans="1:22" ht="15" hidden="1" customHeight="1" x14ac:dyDescent="0.25">
      <c r="A35" s="129"/>
      <c r="B35" s="130"/>
      <c r="C35" s="130"/>
      <c r="D35" s="130"/>
      <c r="E35" s="131"/>
      <c r="F35" s="132"/>
      <c r="G35" s="132"/>
      <c r="H35" s="133"/>
      <c r="I35" s="335"/>
      <c r="J35" s="140"/>
      <c r="K35" s="135"/>
      <c r="L35" s="130"/>
      <c r="M35" s="130"/>
      <c r="N35" s="130"/>
      <c r="O35" s="131"/>
      <c r="P35" s="131"/>
      <c r="Q35" s="134"/>
      <c r="R35" s="136"/>
      <c r="S35" s="136"/>
      <c r="T35" s="615"/>
      <c r="U35" s="616"/>
      <c r="V35" s="506"/>
    </row>
    <row r="36" spans="1:22" ht="14.25" customHeight="1" x14ac:dyDescent="0.25">
      <c r="A36" s="129"/>
      <c r="B36" s="135"/>
      <c r="C36" s="130" t="s">
        <v>49</v>
      </c>
      <c r="D36" s="130"/>
      <c r="E36" s="131"/>
      <c r="F36" s="136" t="s">
        <v>495</v>
      </c>
      <c r="G36" s="136"/>
      <c r="H36" s="133">
        <v>1342394</v>
      </c>
      <c r="I36" s="335">
        <v>1.2959943689642563</v>
      </c>
      <c r="J36" s="140"/>
      <c r="K36" s="135"/>
      <c r="L36" s="135"/>
      <c r="M36" s="130"/>
      <c r="N36" s="130"/>
      <c r="O36" s="131"/>
      <c r="P36" s="131"/>
      <c r="Q36" s="134"/>
      <c r="R36" s="136"/>
      <c r="S36" s="136"/>
      <c r="T36" s="615"/>
      <c r="U36" s="616"/>
      <c r="V36" s="506"/>
    </row>
    <row r="37" spans="1:22" ht="14.25" customHeight="1" x14ac:dyDescent="0.25">
      <c r="A37" s="129"/>
      <c r="B37" s="135"/>
      <c r="C37" s="135"/>
      <c r="D37" s="135" t="s">
        <v>49</v>
      </c>
      <c r="E37" s="131"/>
      <c r="F37" s="136" t="s">
        <v>496</v>
      </c>
      <c r="G37" s="136"/>
      <c r="H37" s="133">
        <v>5232636</v>
      </c>
      <c r="I37" s="335">
        <v>5.0517707847618878</v>
      </c>
      <c r="J37" s="140"/>
      <c r="K37" s="135"/>
      <c r="L37" s="130"/>
      <c r="M37" s="130"/>
      <c r="N37" s="130"/>
      <c r="O37" s="131"/>
      <c r="P37" s="131"/>
      <c r="Q37" s="134"/>
      <c r="R37" s="136"/>
      <c r="S37" s="136"/>
      <c r="T37" s="615"/>
      <c r="U37" s="616"/>
      <c r="V37" s="506"/>
    </row>
    <row r="38" spans="1:22" ht="14.25" customHeight="1" x14ac:dyDescent="0.25">
      <c r="A38" s="129"/>
      <c r="B38" s="135"/>
      <c r="C38" s="135"/>
      <c r="D38" s="135" t="s">
        <v>497</v>
      </c>
      <c r="E38" s="131"/>
      <c r="F38" s="136" t="s">
        <v>498</v>
      </c>
      <c r="G38" s="136"/>
      <c r="H38" s="133">
        <v>-3890242</v>
      </c>
      <c r="I38" s="335">
        <v>-3.7557764157976323</v>
      </c>
      <c r="J38" s="140"/>
      <c r="K38" s="135"/>
      <c r="L38" s="135"/>
      <c r="M38" s="130"/>
      <c r="N38" s="130"/>
      <c r="O38" s="131"/>
      <c r="P38" s="131"/>
      <c r="Q38" s="134"/>
      <c r="R38" s="136"/>
      <c r="S38" s="136"/>
      <c r="T38" s="615"/>
      <c r="U38" s="616"/>
      <c r="V38" s="506"/>
    </row>
    <row r="39" spans="1:22" ht="14.25" customHeight="1" x14ac:dyDescent="0.25">
      <c r="A39" s="129"/>
      <c r="B39" s="135"/>
      <c r="C39" s="135" t="s">
        <v>50</v>
      </c>
      <c r="D39" s="130"/>
      <c r="E39" s="131"/>
      <c r="F39" s="136" t="s">
        <v>499</v>
      </c>
      <c r="G39" s="136"/>
      <c r="H39" s="133">
        <v>194504</v>
      </c>
      <c r="I39" s="335">
        <v>0.18778100076506873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15"/>
      <c r="U39" s="616"/>
      <c r="V39" s="506"/>
    </row>
    <row r="40" spans="1:22" ht="14.25" customHeight="1" x14ac:dyDescent="0.25">
      <c r="A40" s="129"/>
      <c r="B40" s="135"/>
      <c r="C40" s="130"/>
      <c r="D40" s="130" t="s">
        <v>50</v>
      </c>
      <c r="E40" s="131"/>
      <c r="F40" s="136" t="s">
        <v>500</v>
      </c>
      <c r="G40" s="136"/>
      <c r="H40" s="133">
        <v>634500</v>
      </c>
      <c r="I40" s="335">
        <v>0.61256861033930465</v>
      </c>
      <c r="J40" s="140"/>
      <c r="K40" s="135"/>
      <c r="L40" s="135"/>
      <c r="M40" s="135"/>
      <c r="N40" s="130"/>
      <c r="O40" s="131"/>
      <c r="P40" s="131"/>
      <c r="Q40" s="134"/>
      <c r="R40" s="136"/>
      <c r="S40" s="136"/>
      <c r="T40" s="615"/>
      <c r="U40" s="616"/>
      <c r="V40" s="506"/>
    </row>
    <row r="41" spans="1:22" s="348" customFormat="1" ht="14.25" customHeight="1" x14ac:dyDescent="0.25">
      <c r="A41" s="129"/>
      <c r="B41" s="135"/>
      <c r="C41" s="135"/>
      <c r="D41" s="130" t="s">
        <v>501</v>
      </c>
      <c r="E41" s="131"/>
      <c r="F41" s="136" t="s">
        <v>502</v>
      </c>
      <c r="G41" s="136"/>
      <c r="H41" s="133">
        <v>-439996</v>
      </c>
      <c r="I41" s="335">
        <v>-0.42478760957423589</v>
      </c>
      <c r="J41" s="140"/>
      <c r="K41" s="137"/>
      <c r="L41" s="137"/>
      <c r="M41" s="137"/>
      <c r="N41" s="137"/>
      <c r="O41" s="138"/>
      <c r="P41" s="138"/>
      <c r="Q41" s="139"/>
      <c r="R41" s="349"/>
      <c r="S41" s="349"/>
      <c r="T41" s="615"/>
      <c r="U41" s="616"/>
      <c r="V41" s="506"/>
    </row>
    <row r="42" spans="1:22" s="348" customFormat="1" ht="15" hidden="1" customHeight="1" x14ac:dyDescent="0.25">
      <c r="A42" s="129"/>
      <c r="B42" s="137"/>
      <c r="C42" s="137"/>
      <c r="D42" s="137"/>
      <c r="E42" s="138"/>
      <c r="F42" s="132"/>
      <c r="G42" s="132"/>
      <c r="H42" s="133"/>
      <c r="I42" s="335"/>
      <c r="J42" s="140"/>
      <c r="K42" s="135"/>
      <c r="L42" s="137"/>
      <c r="M42" s="137"/>
      <c r="N42" s="137"/>
      <c r="O42" s="138"/>
      <c r="P42" s="138"/>
      <c r="Q42" s="139"/>
      <c r="R42" s="349"/>
      <c r="S42" s="349"/>
      <c r="T42" s="615"/>
      <c r="U42" s="616"/>
      <c r="V42" s="506"/>
    </row>
    <row r="43" spans="1:22" ht="14.25" customHeight="1" x14ac:dyDescent="0.25">
      <c r="A43" s="129"/>
      <c r="B43" s="137"/>
      <c r="C43" s="137" t="s">
        <v>205</v>
      </c>
      <c r="D43" s="137"/>
      <c r="E43" s="138"/>
      <c r="F43" s="140" t="s">
        <v>503</v>
      </c>
      <c r="G43" s="140"/>
      <c r="H43" s="141">
        <v>3872662</v>
      </c>
      <c r="I43" s="336">
        <v>3.7388040656482779</v>
      </c>
      <c r="J43" s="140"/>
      <c r="K43" s="135"/>
      <c r="L43" s="135"/>
      <c r="M43" s="137"/>
      <c r="N43" s="137"/>
      <c r="O43" s="138"/>
      <c r="P43" s="138"/>
      <c r="Q43" s="139"/>
      <c r="R43" s="349"/>
      <c r="S43" s="349"/>
      <c r="T43" s="615"/>
      <c r="U43" s="616"/>
      <c r="V43" s="506"/>
    </row>
    <row r="44" spans="1:22" ht="14.25" customHeight="1" x14ac:dyDescent="0.25">
      <c r="A44" s="129"/>
      <c r="B44" s="135"/>
      <c r="C44" s="130"/>
      <c r="D44" s="130" t="s">
        <v>205</v>
      </c>
      <c r="E44" s="131"/>
      <c r="F44" s="136" t="s">
        <v>504</v>
      </c>
      <c r="G44" s="136"/>
      <c r="H44" s="133">
        <v>7242953</v>
      </c>
      <c r="I44" s="335">
        <v>6.9926015034876237</v>
      </c>
      <c r="J44" s="140"/>
      <c r="K44" s="135"/>
      <c r="L44" s="135"/>
      <c r="M44" s="135"/>
      <c r="N44" s="137"/>
      <c r="O44" s="138"/>
      <c r="P44" s="138"/>
      <c r="Q44" s="139"/>
      <c r="R44" s="349"/>
      <c r="S44" s="349"/>
      <c r="T44" s="615"/>
      <c r="U44" s="616"/>
      <c r="V44" s="506"/>
    </row>
    <row r="45" spans="1:22" ht="14.25" customHeight="1" x14ac:dyDescent="0.25">
      <c r="A45" s="129"/>
      <c r="B45" s="137"/>
      <c r="C45" s="137"/>
      <c r="D45" s="137" t="s">
        <v>505</v>
      </c>
      <c r="E45" s="138"/>
      <c r="F45" s="132" t="s">
        <v>506</v>
      </c>
      <c r="G45" s="132"/>
      <c r="H45" s="133">
        <v>-3370291</v>
      </c>
      <c r="I45" s="335">
        <v>-3.2537974378393471</v>
      </c>
      <c r="J45" s="140"/>
      <c r="K45" s="135"/>
      <c r="L45" s="135"/>
      <c r="M45" s="135"/>
      <c r="N45" s="130"/>
      <c r="O45" s="131"/>
      <c r="P45" s="131"/>
      <c r="Q45" s="134"/>
      <c r="R45" s="136"/>
      <c r="S45" s="136"/>
      <c r="T45" s="615"/>
      <c r="U45" s="616"/>
      <c r="V45" s="506"/>
    </row>
    <row r="46" spans="1:22" ht="14.25" customHeight="1" x14ac:dyDescent="0.25">
      <c r="A46" s="129" t="s">
        <v>507</v>
      </c>
      <c r="B46" s="137"/>
      <c r="C46" s="137"/>
      <c r="D46" s="137"/>
      <c r="E46" s="138"/>
      <c r="F46" s="132"/>
      <c r="G46" s="132"/>
      <c r="H46" s="133">
        <v>103580234</v>
      </c>
      <c r="I46" s="336"/>
      <c r="J46" s="140"/>
      <c r="K46" s="137"/>
      <c r="L46" s="137"/>
      <c r="M46" s="137"/>
      <c r="N46" s="137"/>
      <c r="O46" s="138"/>
      <c r="P46" s="138"/>
      <c r="Q46" s="141"/>
      <c r="R46" s="140"/>
      <c r="S46" s="140"/>
      <c r="T46" s="615"/>
      <c r="U46" s="616"/>
      <c r="V46" s="506"/>
    </row>
    <row r="47" spans="1:22" ht="13.8" x14ac:dyDescent="0.25">
      <c r="A47" s="142"/>
      <c r="B47" s="143"/>
      <c r="C47" s="143"/>
      <c r="D47" s="143"/>
      <c r="E47" s="144"/>
      <c r="F47" s="145"/>
      <c r="G47" s="145"/>
      <c r="H47" s="146"/>
      <c r="I47" s="337"/>
      <c r="J47" s="145"/>
      <c r="K47" s="143"/>
      <c r="L47" s="143"/>
      <c r="M47" s="143"/>
      <c r="N47" s="143"/>
      <c r="O47" s="144"/>
      <c r="P47" s="144"/>
      <c r="Q47" s="146"/>
      <c r="R47" s="145"/>
      <c r="S47" s="145"/>
      <c r="T47" s="625"/>
      <c r="U47" s="626"/>
      <c r="V47" s="507"/>
    </row>
    <row r="48" spans="1:22" ht="14.25" customHeight="1" x14ac:dyDescent="0.25">
      <c r="A48" s="627" t="s">
        <v>337</v>
      </c>
      <c r="B48" s="627"/>
      <c r="C48" s="627"/>
      <c r="D48" s="627"/>
      <c r="E48" s="627"/>
      <c r="F48" s="627"/>
      <c r="G48" s="628">
        <v>0</v>
      </c>
      <c r="H48" s="628"/>
      <c r="L48" s="627" t="s">
        <v>338</v>
      </c>
      <c r="M48" s="627"/>
      <c r="N48" s="627"/>
      <c r="O48" s="627"/>
      <c r="P48" s="627"/>
      <c r="Q48" s="627"/>
      <c r="R48" s="627"/>
      <c r="S48" s="628">
        <v>0</v>
      </c>
      <c r="T48" s="628"/>
      <c r="U48" s="628"/>
    </row>
    <row r="49" spans="1:5" ht="13.8" x14ac:dyDescent="0.25">
      <c r="A49" s="629" t="s">
        <v>8</v>
      </c>
      <c r="B49" s="629"/>
      <c r="D49" s="559" t="s">
        <v>612</v>
      </c>
      <c r="E49" s="59"/>
    </row>
  </sheetData>
  <mergeCells count="51">
    <mergeCell ref="A48:F48"/>
    <mergeCell ref="G48:H48"/>
    <mergeCell ref="L48:R48"/>
    <mergeCell ref="S48:U48"/>
    <mergeCell ref="A49:B49"/>
    <mergeCell ref="T37:U37"/>
    <mergeCell ref="T38:U38"/>
    <mergeCell ref="T39:U39"/>
    <mergeCell ref="T40:U40"/>
    <mergeCell ref="T32:U32"/>
    <mergeCell ref="T33:U33"/>
    <mergeCell ref="T34:U34"/>
    <mergeCell ref="T36:U36"/>
    <mergeCell ref="T46:U46"/>
    <mergeCell ref="T47:U47"/>
    <mergeCell ref="T41:U41"/>
    <mergeCell ref="T42:U42"/>
    <mergeCell ref="T43:U43"/>
    <mergeCell ref="T44:U44"/>
    <mergeCell ref="T45:U45"/>
    <mergeCell ref="T13:U13"/>
    <mergeCell ref="T14:U14"/>
    <mergeCell ref="T15:U15"/>
    <mergeCell ref="T16:U16"/>
    <mergeCell ref="V9:V11"/>
    <mergeCell ref="T35:U35"/>
    <mergeCell ref="T22:U22"/>
    <mergeCell ref="T17:U17"/>
    <mergeCell ref="T18:U18"/>
    <mergeCell ref="T19:U19"/>
    <mergeCell ref="T20:U21"/>
    <mergeCell ref="T29:U29"/>
    <mergeCell ref="T30:U30"/>
    <mergeCell ref="T31:U31"/>
    <mergeCell ref="T24:U24"/>
    <mergeCell ref="T27:U27"/>
    <mergeCell ref="T28:U28"/>
    <mergeCell ref="T25:U2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9:U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Q23" sqref="Q23"/>
    </sheetView>
  </sheetViews>
  <sheetFormatPr defaultColWidth="6.88671875" defaultRowHeight="12.75" customHeight="1" x14ac:dyDescent="0.25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 x14ac:dyDescent="0.25">
      <c r="A1" s="636" t="str">
        <f>封面!$A$4</f>
        <v>彰化縣地方教育發展基金－彰化縣秀水鄉馬興國民小學</v>
      </c>
      <c r="B1" s="637"/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638"/>
    </row>
    <row r="2" spans="1:13" ht="13.2" x14ac:dyDescent="0.25">
      <c r="A2" s="637"/>
      <c r="B2" s="637"/>
      <c r="C2" s="637"/>
      <c r="D2" s="637"/>
      <c r="E2" s="637"/>
      <c r="F2" s="637"/>
      <c r="G2" s="637"/>
      <c r="H2" s="637"/>
      <c r="I2" s="637"/>
      <c r="J2" s="637"/>
      <c r="K2" s="637"/>
      <c r="L2" s="637"/>
      <c r="M2" s="638"/>
    </row>
    <row r="3" spans="1:13" ht="13.2" x14ac:dyDescent="0.25">
      <c r="M3" s="230"/>
    </row>
    <row r="4" spans="1:13" ht="23.25" customHeight="1" x14ac:dyDescent="0.25">
      <c r="A4" s="639" t="s">
        <v>29</v>
      </c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</row>
    <row r="5" spans="1:13" ht="2.25" customHeight="1" x14ac:dyDescent="0.25">
      <c r="A5" s="639"/>
      <c r="B5" s="639"/>
      <c r="C5" s="639"/>
      <c r="D5" s="639"/>
      <c r="E5" s="639"/>
      <c r="F5" s="639"/>
      <c r="G5" s="639"/>
      <c r="H5" s="639"/>
      <c r="I5" s="639"/>
      <c r="J5" s="639"/>
      <c r="K5" s="639"/>
      <c r="L5" s="639"/>
      <c r="M5" s="639"/>
    </row>
    <row r="6" spans="1:13" ht="16.2" x14ac:dyDescent="0.25">
      <c r="A6" s="640" t="str">
        <f>封面!$E$10&amp;封面!$H$10&amp;封面!$I$10&amp;封面!$J$10&amp;封面!$K$10&amp;封面!L10</f>
        <v>中華民國111年1月份</v>
      </c>
      <c r="B6" s="640"/>
      <c r="C6" s="640"/>
      <c r="D6" s="640"/>
      <c r="E6" s="640"/>
      <c r="F6" s="640"/>
      <c r="G6" s="640"/>
      <c r="H6" s="640"/>
      <c r="I6" s="640"/>
      <c r="J6" s="640"/>
      <c r="K6" s="640"/>
      <c r="L6" s="640"/>
      <c r="M6" s="640"/>
    </row>
    <row r="7" spans="1:13" ht="10.5" customHeight="1" x14ac:dyDescent="0.25"/>
    <row r="8" spans="1:13" ht="16.2" x14ac:dyDescent="0.25">
      <c r="A8" s="603" t="s">
        <v>1</v>
      </c>
      <c r="B8" s="603"/>
      <c r="C8" s="603"/>
      <c r="D8" s="603"/>
      <c r="E8" s="603"/>
      <c r="F8" s="603"/>
      <c r="G8" s="603"/>
      <c r="H8" s="603"/>
      <c r="I8" s="603"/>
      <c r="J8" s="603"/>
      <c r="K8" s="603"/>
      <c r="L8" s="603"/>
      <c r="M8" s="603"/>
    </row>
    <row r="9" spans="1:13" ht="1.5" customHeight="1" x14ac:dyDescent="0.25"/>
    <row r="10" spans="1:13" s="5" customFormat="1" ht="32.25" customHeight="1" x14ac:dyDescent="0.25">
      <c r="A10" s="16"/>
      <c r="B10" s="630" t="s">
        <v>30</v>
      </c>
      <c r="C10" s="631"/>
      <c r="D10" s="632" t="s">
        <v>31</v>
      </c>
      <c r="E10" s="635" t="s">
        <v>32</v>
      </c>
      <c r="F10" s="630"/>
      <c r="G10" s="630"/>
      <c r="H10" s="641" t="s">
        <v>210</v>
      </c>
      <c r="I10" s="642"/>
      <c r="J10" s="642"/>
      <c r="K10" s="642"/>
      <c r="L10" s="642"/>
      <c r="M10" s="229"/>
    </row>
    <row r="11" spans="1:13" s="5" customFormat="1" ht="16.5" hidden="1" customHeight="1" x14ac:dyDescent="0.25">
      <c r="B11" s="643" t="s">
        <v>33</v>
      </c>
      <c r="C11" s="632" t="s">
        <v>34</v>
      </c>
      <c r="D11" s="633"/>
      <c r="E11" s="632" t="s">
        <v>35</v>
      </c>
      <c r="F11" s="632" t="s">
        <v>36</v>
      </c>
      <c r="G11" s="632" t="s">
        <v>37</v>
      </c>
      <c r="H11" s="632" t="s">
        <v>35</v>
      </c>
      <c r="I11" s="632" t="s">
        <v>36</v>
      </c>
      <c r="J11" s="647" t="s">
        <v>202</v>
      </c>
      <c r="K11" s="648"/>
      <c r="L11" s="649"/>
      <c r="M11" s="149"/>
    </row>
    <row r="12" spans="1:13" s="5" customFormat="1" ht="16.2" x14ac:dyDescent="0.25">
      <c r="A12" s="16"/>
      <c r="B12" s="644"/>
      <c r="C12" s="645"/>
      <c r="D12" s="634"/>
      <c r="E12" s="645"/>
      <c r="F12" s="645"/>
      <c r="G12" s="645"/>
      <c r="H12" s="646"/>
      <c r="I12" s="646"/>
      <c r="J12" s="229" t="s">
        <v>203</v>
      </c>
      <c r="K12" s="231"/>
      <c r="L12" s="229" t="s">
        <v>204</v>
      </c>
      <c r="M12" s="229"/>
    </row>
    <row r="13" spans="1:13" ht="39.75" hidden="1" customHeight="1" x14ac:dyDescent="0.25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 x14ac:dyDescent="0.25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 x14ac:dyDescent="0.25">
      <c r="A15" s="12"/>
      <c r="B15" s="17" t="s">
        <v>23</v>
      </c>
      <c r="C15" s="395"/>
      <c r="D15" s="396" t="s">
        <v>38</v>
      </c>
      <c r="E15" s="397"/>
      <c r="F15" s="277"/>
      <c r="G15" s="278"/>
      <c r="H15" s="279">
        <v>6972909</v>
      </c>
      <c r="I15" s="279">
        <v>7852000</v>
      </c>
      <c r="J15" s="279">
        <v>-879091</v>
      </c>
      <c r="K15" s="279"/>
      <c r="L15" s="280">
        <v>-11.195759042282221</v>
      </c>
      <c r="M15" s="147"/>
    </row>
    <row r="16" spans="1:13" ht="12.75" hidden="1" customHeight="1" x14ac:dyDescent="0.25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 x14ac:dyDescent="0.25">
      <c r="A17" s="8"/>
      <c r="B17" s="157"/>
      <c r="C17" s="398"/>
      <c r="D17" s="399" t="s">
        <v>39</v>
      </c>
      <c r="E17" s="397"/>
      <c r="F17" s="277"/>
      <c r="G17" s="278"/>
      <c r="H17" s="279">
        <v>6972909</v>
      </c>
      <c r="I17" s="279">
        <v>7852000</v>
      </c>
      <c r="J17" s="279">
        <v>-879091</v>
      </c>
      <c r="K17" s="279"/>
      <c r="L17" s="280">
        <v>-11.195759042282221</v>
      </c>
      <c r="M17" s="147"/>
    </row>
    <row r="18" spans="1:13" ht="12.75" hidden="1" customHeight="1" x14ac:dyDescent="0.25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 x14ac:dyDescent="0.25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 x14ac:dyDescent="0.25">
      <c r="A20" s="12"/>
      <c r="B20" s="17" t="s">
        <v>25</v>
      </c>
      <c r="C20" s="395"/>
      <c r="D20" s="396" t="s">
        <v>38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 x14ac:dyDescent="0.25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 x14ac:dyDescent="0.25">
      <c r="A22" s="8"/>
      <c r="B22" s="157"/>
      <c r="C22" s="398"/>
      <c r="D22" s="399" t="s">
        <v>39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 x14ac:dyDescent="0.25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 x14ac:dyDescent="0.25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 x14ac:dyDescent="0.25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 x14ac:dyDescent="0.25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 x14ac:dyDescent="0.25"/>
    <row r="29" spans="1:13" ht="12.75" customHeight="1" x14ac:dyDescent="0.25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Q23" sqref="Q23"/>
    </sheetView>
  </sheetViews>
  <sheetFormatPr defaultColWidth="9.109375" defaultRowHeight="15" x14ac:dyDescent="0.2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 x14ac:dyDescent="0.25">
      <c r="A1" s="651" t="str">
        <f>封面!$A$4</f>
        <v>彰化縣地方教育發展基金－彰化縣秀水鄉馬興國民小學</v>
      </c>
      <c r="B1" s="651"/>
      <c r="C1" s="651"/>
      <c r="D1" s="651"/>
      <c r="E1" s="651"/>
      <c r="F1" s="651"/>
      <c r="G1" s="652"/>
      <c r="J1" s="241"/>
      <c r="K1" s="215"/>
    </row>
    <row r="2" spans="1:11" s="85" customFormat="1" ht="19.8" hidden="1" x14ac:dyDescent="0.25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 x14ac:dyDescent="0.25">
      <c r="A3" s="245"/>
      <c r="J3" s="241"/>
      <c r="K3" s="215"/>
    </row>
    <row r="4" spans="1:11" s="85" customFormat="1" ht="22.2" x14ac:dyDescent="0.25">
      <c r="A4" s="656" t="s">
        <v>277</v>
      </c>
      <c r="B4" s="656"/>
      <c r="C4" s="656"/>
      <c r="D4" s="656"/>
      <c r="E4" s="656"/>
      <c r="F4" s="656"/>
      <c r="G4" s="652"/>
      <c r="J4" s="241"/>
      <c r="K4" s="215"/>
    </row>
    <row r="5" spans="1:11" s="85" customFormat="1" ht="6.75" customHeight="1" x14ac:dyDescent="0.25">
      <c r="A5" s="245"/>
      <c r="J5" s="241"/>
      <c r="K5" s="215"/>
    </row>
    <row r="6" spans="1:11" s="85" customFormat="1" ht="16.2" x14ac:dyDescent="0.25">
      <c r="A6" s="655" t="str">
        <f>封面!$E$10&amp;封面!$H$10&amp;封面!$I$10&amp;封面!$J$10&amp;封面!$K$10&amp;封面!L10</f>
        <v>中華民國111年1月份</v>
      </c>
      <c r="B6" s="655"/>
      <c r="C6" s="655"/>
      <c r="D6" s="655"/>
      <c r="E6" s="655"/>
      <c r="F6" s="655"/>
      <c r="G6" s="652"/>
      <c r="J6" s="241"/>
      <c r="K6" s="215"/>
    </row>
    <row r="7" spans="1:11" s="85" customFormat="1" ht="14.25" customHeight="1" x14ac:dyDescent="0.25">
      <c r="A7" s="603" t="s">
        <v>41</v>
      </c>
      <c r="B7" s="603"/>
      <c r="C7" s="603"/>
      <c r="D7" s="603"/>
      <c r="E7" s="603"/>
      <c r="F7" s="603"/>
      <c r="G7" s="652"/>
      <c r="J7" s="241"/>
      <c r="K7" s="215"/>
    </row>
    <row r="8" spans="1:11" s="242" customFormat="1" ht="28.5" customHeight="1" x14ac:dyDescent="0.25">
      <c r="A8" s="653" t="s">
        <v>221</v>
      </c>
      <c r="B8" s="653" t="s">
        <v>279</v>
      </c>
      <c r="C8" s="653" t="s">
        <v>280</v>
      </c>
      <c r="D8" s="657" t="s">
        <v>283</v>
      </c>
      <c r="E8" s="658"/>
      <c r="F8" s="594" t="s">
        <v>284</v>
      </c>
      <c r="G8" s="586" t="s">
        <v>285</v>
      </c>
    </row>
    <row r="9" spans="1:11" s="243" customFormat="1" ht="28.5" customHeight="1" x14ac:dyDescent="0.25">
      <c r="A9" s="654"/>
      <c r="B9" s="654"/>
      <c r="C9" s="654"/>
      <c r="D9" s="326" t="s">
        <v>281</v>
      </c>
      <c r="E9" s="326" t="s">
        <v>282</v>
      </c>
      <c r="F9" s="650"/>
      <c r="G9" s="616"/>
    </row>
    <row r="10" spans="1:11" x14ac:dyDescent="0.25">
      <c r="A10" s="247" t="s">
        <v>212</v>
      </c>
      <c r="B10" s="283">
        <f t="shared" ref="B10:G10" si="0">SUM(B12:B32)</f>
        <v>74887823</v>
      </c>
      <c r="C10" s="283">
        <f t="shared" si="0"/>
        <v>34700584</v>
      </c>
      <c r="D10" s="327">
        <f t="shared" si="0"/>
        <v>2886174</v>
      </c>
      <c r="E10" s="327">
        <f t="shared" si="0"/>
        <v>0</v>
      </c>
      <c r="F10" s="327">
        <f t="shared" si="0"/>
        <v>186141</v>
      </c>
      <c r="G10" s="327">
        <f t="shared" si="0"/>
        <v>42887272</v>
      </c>
    </row>
    <row r="11" spans="1:11" ht="15.75" hidden="1" customHeight="1" x14ac:dyDescent="0.25">
      <c r="A11" s="248"/>
      <c r="B11" s="284"/>
      <c r="C11" s="284"/>
      <c r="D11" s="328"/>
      <c r="E11" s="328"/>
      <c r="F11" s="328"/>
      <c r="G11" s="328"/>
    </row>
    <row r="12" spans="1:11" x14ac:dyDescent="0.25">
      <c r="A12" s="249" t="s">
        <v>213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 x14ac:dyDescent="0.25">
      <c r="A13" s="249"/>
      <c r="B13" s="284"/>
      <c r="C13" s="379"/>
      <c r="D13" s="437"/>
      <c r="E13" s="437"/>
      <c r="F13" s="328"/>
      <c r="G13" s="328">
        <f t="shared" ref="G13:G33" si="1">B13-C13+D13-E13-F13</f>
        <v>0</v>
      </c>
    </row>
    <row r="14" spans="1:11" x14ac:dyDescent="0.25">
      <c r="A14" s="249" t="s">
        <v>214</v>
      </c>
      <c r="B14" s="284">
        <v>11027358</v>
      </c>
      <c r="C14" s="438"/>
      <c r="D14" s="437"/>
      <c r="E14" s="437"/>
      <c r="F14" s="328"/>
      <c r="G14" s="328">
        <f t="shared" si="1"/>
        <v>11027358</v>
      </c>
    </row>
    <row r="15" spans="1:11" ht="15.75" hidden="1" customHeight="1" x14ac:dyDescent="0.25">
      <c r="A15" s="249"/>
      <c r="B15" s="284"/>
      <c r="C15" s="438"/>
      <c r="D15" s="437"/>
      <c r="E15" s="437"/>
      <c r="F15" s="328"/>
      <c r="G15" s="328">
        <f t="shared" si="1"/>
        <v>0</v>
      </c>
    </row>
    <row r="16" spans="1:11" x14ac:dyDescent="0.25">
      <c r="A16" s="249" t="s">
        <v>215</v>
      </c>
      <c r="B16" s="440">
        <v>5137300</v>
      </c>
      <c r="C16" s="441">
        <v>2002347</v>
      </c>
      <c r="D16" s="439"/>
      <c r="E16" s="437"/>
      <c r="F16" s="441">
        <v>32803</v>
      </c>
      <c r="G16" s="328">
        <f t="shared" si="1"/>
        <v>3102150</v>
      </c>
    </row>
    <row r="17" spans="1:7" ht="15.75" hidden="1" customHeight="1" x14ac:dyDescent="0.25">
      <c r="A17" s="249"/>
      <c r="B17" s="438"/>
      <c r="C17" s="438"/>
      <c r="D17" s="439"/>
      <c r="E17" s="437"/>
      <c r="F17" s="439"/>
      <c r="G17" s="328">
        <f t="shared" si="1"/>
        <v>0</v>
      </c>
    </row>
    <row r="18" spans="1:7" x14ac:dyDescent="0.25">
      <c r="A18" s="249" t="s">
        <v>216</v>
      </c>
      <c r="B18" s="440">
        <v>48499250</v>
      </c>
      <c r="C18" s="441">
        <v>25055154</v>
      </c>
      <c r="D18" s="437"/>
      <c r="E18" s="437"/>
      <c r="F18" s="441">
        <v>95892</v>
      </c>
      <c r="G18" s="328">
        <f t="shared" si="1"/>
        <v>23348204</v>
      </c>
    </row>
    <row r="19" spans="1:7" ht="15.75" hidden="1" customHeight="1" x14ac:dyDescent="0.25">
      <c r="A19" s="249"/>
      <c r="B19" s="438"/>
      <c r="C19" s="438"/>
      <c r="D19" s="439"/>
      <c r="E19" s="437"/>
      <c r="F19" s="439"/>
      <c r="G19" s="328">
        <f t="shared" si="1"/>
        <v>0</v>
      </c>
    </row>
    <row r="20" spans="1:7" x14ac:dyDescent="0.25">
      <c r="A20" s="249" t="s">
        <v>217</v>
      </c>
      <c r="B20" s="440">
        <v>5217136</v>
      </c>
      <c r="C20" s="441">
        <v>3858656</v>
      </c>
      <c r="D20" s="441">
        <v>15500</v>
      </c>
      <c r="E20" s="437"/>
      <c r="F20" s="441">
        <v>31586</v>
      </c>
      <c r="G20" s="328">
        <f t="shared" si="1"/>
        <v>1342394</v>
      </c>
    </row>
    <row r="21" spans="1:7" ht="15.75" hidden="1" customHeight="1" x14ac:dyDescent="0.25">
      <c r="A21" s="249"/>
      <c r="B21" s="438"/>
      <c r="C21" s="438"/>
      <c r="D21" s="439"/>
      <c r="E21" s="437"/>
      <c r="F21" s="439"/>
      <c r="G21" s="328">
        <f t="shared" si="1"/>
        <v>0</v>
      </c>
    </row>
    <row r="22" spans="1:7" x14ac:dyDescent="0.25">
      <c r="A22" s="249" t="s">
        <v>218</v>
      </c>
      <c r="B22" s="440">
        <v>634500</v>
      </c>
      <c r="C22" s="441">
        <v>433888</v>
      </c>
      <c r="D22" s="441"/>
      <c r="E22" s="437"/>
      <c r="F22" s="441">
        <v>6108</v>
      </c>
      <c r="G22" s="328">
        <f t="shared" si="1"/>
        <v>194504</v>
      </c>
    </row>
    <row r="23" spans="1:7" ht="15.75" hidden="1" customHeight="1" x14ac:dyDescent="0.25">
      <c r="A23" s="249"/>
      <c r="B23" s="438"/>
      <c r="C23" s="438"/>
      <c r="D23" s="439"/>
      <c r="E23" s="328"/>
      <c r="F23" s="439"/>
      <c r="G23" s="328">
        <f t="shared" si="1"/>
        <v>0</v>
      </c>
    </row>
    <row r="24" spans="1:7" x14ac:dyDescent="0.25">
      <c r="A24" s="249" t="s">
        <v>219</v>
      </c>
      <c r="B24" s="440">
        <v>4372279</v>
      </c>
      <c r="C24" s="441">
        <v>3350539</v>
      </c>
      <c r="D24" s="441">
        <v>2870674</v>
      </c>
      <c r="E24" s="328"/>
      <c r="F24" s="441">
        <v>19752</v>
      </c>
      <c r="G24" s="328">
        <f t="shared" si="1"/>
        <v>3872662</v>
      </c>
    </row>
    <row r="25" spans="1:7" ht="15.75" hidden="1" customHeight="1" x14ac:dyDescent="0.25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 x14ac:dyDescent="0.25">
      <c r="A26" s="249" t="s">
        <v>220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 x14ac:dyDescent="0.25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 x14ac:dyDescent="0.25">
      <c r="A28" s="249" t="s">
        <v>278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 x14ac:dyDescent="0.25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 x14ac:dyDescent="0.25">
      <c r="A30" s="249" t="s">
        <v>52</v>
      </c>
      <c r="B30" s="284"/>
      <c r="C30" s="284"/>
      <c r="D30" s="328"/>
      <c r="E30" s="328"/>
      <c r="F30" s="328"/>
      <c r="G30" s="328">
        <f t="shared" si="1"/>
        <v>0</v>
      </c>
    </row>
    <row r="31" spans="1:7" x14ac:dyDescent="0.25">
      <c r="A31" s="249" t="s">
        <v>207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 x14ac:dyDescent="0.25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 x14ac:dyDescent="0.25">
      <c r="A33" s="250" t="s">
        <v>208</v>
      </c>
      <c r="B33" s="285"/>
      <c r="C33" s="285"/>
      <c r="D33" s="329"/>
      <c r="E33" s="329"/>
      <c r="F33" s="329"/>
      <c r="G33" s="329">
        <f t="shared" si="1"/>
        <v>0</v>
      </c>
    </row>
    <row r="34" spans="1:7" x14ac:dyDescent="0.25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Q23" sqref="Q23"/>
      <selection pane="bottomLeft" activeCell="Q23" sqref="Q23"/>
    </sheetView>
  </sheetViews>
  <sheetFormatPr defaultColWidth="6.88671875" defaultRowHeight="12.75" customHeight="1" x14ac:dyDescent="0.25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 x14ac:dyDescent="0.25">
      <c r="T1" s="660"/>
      <c r="U1" s="660"/>
      <c r="V1" s="660"/>
      <c r="W1" s="660"/>
    </row>
    <row r="2" spans="1:24" ht="24.75" customHeight="1" x14ac:dyDescent="0.25">
      <c r="A2" s="604" t="str">
        <f>封面!$A$4</f>
        <v>彰化縣地方教育發展基金－彰化縣秀水鄉馬興國民小學</v>
      </c>
      <c r="B2" s="567"/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/>
      <c r="O2" s="567"/>
      <c r="P2" s="567"/>
      <c r="Q2" s="567"/>
      <c r="R2" s="567"/>
      <c r="S2" s="567"/>
      <c r="T2" s="567"/>
      <c r="U2" s="567"/>
      <c r="V2" s="567"/>
      <c r="W2" s="567"/>
    </row>
    <row r="3" spans="1:24" ht="20.25" customHeight="1" x14ac:dyDescent="0.25">
      <c r="A3" s="636" t="s">
        <v>71</v>
      </c>
      <c r="B3" s="636"/>
      <c r="C3" s="636"/>
      <c r="D3" s="636"/>
      <c r="E3" s="636"/>
      <c r="F3" s="636"/>
      <c r="G3" s="636"/>
      <c r="H3" s="636"/>
      <c r="I3" s="636"/>
      <c r="J3" s="636"/>
      <c r="K3" s="636"/>
      <c r="L3" s="636"/>
      <c r="M3" s="636"/>
      <c r="N3" s="636"/>
      <c r="O3" s="636"/>
      <c r="P3" s="636"/>
      <c r="Q3" s="636"/>
      <c r="R3" s="636"/>
      <c r="S3" s="636"/>
      <c r="T3" s="636"/>
      <c r="U3" s="636"/>
      <c r="V3" s="636"/>
      <c r="W3" s="636"/>
    </row>
    <row r="4" spans="1:24" ht="20.25" customHeight="1" x14ac:dyDescent="0.25">
      <c r="A4" s="602" t="str">
        <f>封面!$E$10&amp;封面!$H$10&amp;封面!$I$10&amp;封面!$J$10&amp;封面!$K$10&amp;封面!L10</f>
        <v>中華民國111年1月份</v>
      </c>
      <c r="B4" s="602"/>
      <c r="C4" s="602"/>
      <c r="D4" s="602"/>
      <c r="E4" s="602"/>
      <c r="F4" s="602"/>
      <c r="G4" s="602"/>
      <c r="H4" s="602"/>
      <c r="I4" s="602"/>
      <c r="J4" s="602"/>
      <c r="K4" s="602"/>
      <c r="L4" s="602"/>
      <c r="M4" s="602"/>
      <c r="N4" s="602"/>
      <c r="O4" s="602"/>
      <c r="P4" s="602"/>
      <c r="Q4" s="602"/>
      <c r="R4" s="602"/>
      <c r="S4" s="602"/>
      <c r="T4" s="602"/>
      <c r="U4" s="602"/>
      <c r="V4" s="602"/>
      <c r="W4" s="602"/>
    </row>
    <row r="5" spans="1:24" ht="16.2" x14ac:dyDescent="0.3">
      <c r="S5" s="662" t="s">
        <v>1</v>
      </c>
      <c r="T5" s="567"/>
      <c r="U5" s="567"/>
      <c r="V5" s="567"/>
      <c r="W5" s="567"/>
    </row>
    <row r="6" spans="1:24" ht="13.8" hidden="1" x14ac:dyDescent="0.25"/>
    <row r="7" spans="1:24" ht="8.1" customHeight="1" x14ac:dyDescent="0.25">
      <c r="A7" s="641" t="s">
        <v>6</v>
      </c>
      <c r="B7" s="661"/>
      <c r="C7" s="661"/>
      <c r="D7" s="661"/>
      <c r="E7" s="661"/>
      <c r="F7" s="661"/>
      <c r="G7" s="661"/>
      <c r="H7" s="661"/>
      <c r="I7" s="661"/>
      <c r="J7" s="661"/>
      <c r="K7" s="661"/>
      <c r="L7" s="661"/>
      <c r="M7" s="661"/>
      <c r="N7" s="641" t="s">
        <v>73</v>
      </c>
      <c r="O7" s="659"/>
      <c r="P7" s="641" t="s">
        <v>74</v>
      </c>
      <c r="Q7" s="659"/>
      <c r="R7" s="641" t="s">
        <v>72</v>
      </c>
      <c r="S7" s="659"/>
      <c r="T7" s="659"/>
      <c r="U7" s="659"/>
      <c r="V7" s="659"/>
      <c r="W7" s="659"/>
      <c r="X7" s="6"/>
    </row>
    <row r="8" spans="1:24" ht="8.1" customHeight="1" x14ac:dyDescent="0.25">
      <c r="A8" s="661"/>
      <c r="B8" s="661"/>
      <c r="C8" s="661"/>
      <c r="D8" s="661"/>
      <c r="E8" s="661"/>
      <c r="F8" s="661"/>
      <c r="G8" s="661"/>
      <c r="H8" s="661"/>
      <c r="I8" s="661"/>
      <c r="J8" s="661"/>
      <c r="K8" s="661"/>
      <c r="L8" s="661"/>
      <c r="M8" s="661"/>
      <c r="N8" s="659"/>
      <c r="O8" s="659"/>
      <c r="P8" s="659"/>
      <c r="Q8" s="659"/>
      <c r="R8" s="659"/>
      <c r="S8" s="659"/>
      <c r="T8" s="659"/>
      <c r="U8" s="659"/>
      <c r="V8" s="659"/>
      <c r="W8" s="659"/>
      <c r="X8" s="6"/>
    </row>
    <row r="9" spans="1:24" ht="8.1" customHeight="1" x14ac:dyDescent="0.25">
      <c r="A9" s="661"/>
      <c r="B9" s="661"/>
      <c r="C9" s="661"/>
      <c r="D9" s="661"/>
      <c r="E9" s="661"/>
      <c r="F9" s="661"/>
      <c r="G9" s="661"/>
      <c r="H9" s="661"/>
      <c r="I9" s="661"/>
      <c r="J9" s="661"/>
      <c r="K9" s="661"/>
      <c r="L9" s="661"/>
      <c r="M9" s="661"/>
      <c r="N9" s="659"/>
      <c r="O9" s="659"/>
      <c r="P9" s="659"/>
      <c r="Q9" s="659"/>
      <c r="R9" s="641" t="s">
        <v>4</v>
      </c>
      <c r="S9" s="659"/>
      <c r="T9" s="659"/>
      <c r="U9" s="659"/>
      <c r="V9" s="83"/>
      <c r="W9" s="663" t="s">
        <v>156</v>
      </c>
      <c r="X9" s="6"/>
    </row>
    <row r="10" spans="1:24" ht="8.1" customHeight="1" x14ac:dyDescent="0.25">
      <c r="A10" s="661"/>
      <c r="B10" s="661"/>
      <c r="C10" s="661"/>
      <c r="D10" s="661"/>
      <c r="E10" s="661"/>
      <c r="F10" s="661"/>
      <c r="G10" s="661"/>
      <c r="H10" s="661"/>
      <c r="I10" s="661"/>
      <c r="J10" s="661"/>
      <c r="K10" s="661"/>
      <c r="L10" s="661"/>
      <c r="M10" s="661"/>
      <c r="N10" s="659"/>
      <c r="O10" s="659"/>
      <c r="P10" s="659"/>
      <c r="Q10" s="659"/>
      <c r="R10" s="659"/>
      <c r="S10" s="659"/>
      <c r="T10" s="659"/>
      <c r="U10" s="659"/>
      <c r="V10" s="84"/>
      <c r="W10" s="645"/>
      <c r="X10" s="6"/>
    </row>
    <row r="11" spans="1:24" ht="13.2" hidden="1" x14ac:dyDescent="0.25">
      <c r="A11" s="661"/>
      <c r="B11" s="661"/>
      <c r="C11" s="661"/>
      <c r="D11" s="661"/>
      <c r="E11" s="661"/>
      <c r="F11" s="661"/>
      <c r="G11" s="661"/>
      <c r="H11" s="661"/>
      <c r="I11" s="661"/>
      <c r="J11" s="661"/>
      <c r="K11" s="661"/>
      <c r="L11" s="661"/>
      <c r="M11" s="661"/>
      <c r="N11" s="659"/>
      <c r="O11" s="659"/>
      <c r="P11" s="659"/>
      <c r="Q11" s="659"/>
      <c r="R11" s="659"/>
      <c r="S11" s="659"/>
      <c r="T11" s="659"/>
      <c r="U11" s="659"/>
      <c r="V11" s="84"/>
      <c r="W11" s="84"/>
      <c r="X11" s="6"/>
    </row>
    <row r="12" spans="1:24" ht="15.75" customHeight="1" x14ac:dyDescent="0.3">
      <c r="A12" s="258"/>
      <c r="B12" s="90" t="s">
        <v>465</v>
      </c>
      <c r="C12" s="90"/>
      <c r="D12" s="90"/>
      <c r="E12" s="90"/>
      <c r="F12" s="90" t="s">
        <v>530</v>
      </c>
      <c r="G12" s="90"/>
      <c r="H12" s="90"/>
      <c r="I12" s="90"/>
      <c r="J12" s="90"/>
      <c r="K12" s="90"/>
      <c r="L12" s="90"/>
      <c r="M12" s="259"/>
      <c r="N12" s="264"/>
      <c r="O12" s="265">
        <v>35183000</v>
      </c>
      <c r="P12" s="266"/>
      <c r="Q12" s="265">
        <v>6896399</v>
      </c>
      <c r="R12" s="266"/>
      <c r="S12" s="265">
        <v>-28286601</v>
      </c>
      <c r="T12" s="265"/>
      <c r="U12" s="265"/>
      <c r="V12" s="266"/>
      <c r="W12" s="265" t="s">
        <v>531</v>
      </c>
      <c r="X12" s="6"/>
    </row>
    <row r="13" spans="1:24" ht="15.75" customHeight="1" x14ac:dyDescent="0.3">
      <c r="A13" s="260"/>
      <c r="B13" s="91"/>
      <c r="C13" s="378" t="s">
        <v>467</v>
      </c>
      <c r="D13" s="378"/>
      <c r="E13" s="378"/>
      <c r="F13" s="91"/>
      <c r="G13" s="91" t="s">
        <v>532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3679100</v>
      </c>
      <c r="R13" s="268"/>
      <c r="S13" s="269">
        <v>3679100</v>
      </c>
      <c r="T13" s="269"/>
      <c r="U13" s="269"/>
      <c r="V13" s="268"/>
      <c r="W13" s="268"/>
      <c r="X13" s="6"/>
    </row>
    <row r="14" spans="1:24" ht="15.75" customHeight="1" x14ac:dyDescent="0.3">
      <c r="A14" s="260"/>
      <c r="B14" s="91"/>
      <c r="C14" s="378"/>
      <c r="D14" s="378" t="s">
        <v>533</v>
      </c>
      <c r="E14" s="378"/>
      <c r="F14" s="91"/>
      <c r="G14" s="91"/>
      <c r="H14" s="91"/>
      <c r="I14" s="91" t="s">
        <v>534</v>
      </c>
      <c r="J14" s="91"/>
      <c r="K14" s="91"/>
      <c r="L14" s="91"/>
      <c r="M14" s="261"/>
      <c r="N14" s="267"/>
      <c r="O14" s="268"/>
      <c r="P14" s="268"/>
      <c r="Q14" s="269">
        <v>3615310</v>
      </c>
      <c r="R14" s="268"/>
      <c r="S14" s="269">
        <v>3615310</v>
      </c>
      <c r="T14" s="269"/>
      <c r="U14" s="269"/>
      <c r="V14" s="268"/>
      <c r="W14" s="268"/>
      <c r="X14" s="6"/>
    </row>
    <row r="15" spans="1:24" ht="15.75" customHeight="1" x14ac:dyDescent="0.3">
      <c r="A15" s="260"/>
      <c r="B15" s="91"/>
      <c r="C15" s="378"/>
      <c r="D15" s="378" t="s">
        <v>535</v>
      </c>
      <c r="E15" s="378"/>
      <c r="F15" s="91"/>
      <c r="G15" s="91"/>
      <c r="H15" s="91"/>
      <c r="I15" s="91" t="s">
        <v>536</v>
      </c>
      <c r="J15" s="91"/>
      <c r="K15" s="91"/>
      <c r="L15" s="91"/>
      <c r="M15" s="261"/>
      <c r="N15" s="267"/>
      <c r="O15" s="268"/>
      <c r="P15" s="268"/>
      <c r="Q15" s="269">
        <v>63790</v>
      </c>
      <c r="R15" s="268"/>
      <c r="S15" s="269">
        <v>63790</v>
      </c>
      <c r="T15" s="269"/>
      <c r="U15" s="269"/>
      <c r="V15" s="268"/>
      <c r="W15" s="268"/>
      <c r="X15" s="6"/>
    </row>
    <row r="16" spans="1:24" ht="15.75" customHeight="1" x14ac:dyDescent="0.3">
      <c r="A16" s="260"/>
      <c r="B16" s="91"/>
      <c r="C16" s="378" t="s">
        <v>537</v>
      </c>
      <c r="D16" s="378"/>
      <c r="E16" s="378"/>
      <c r="F16" s="91"/>
      <c r="G16" s="91" t="s">
        <v>538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40320</v>
      </c>
      <c r="R16" s="268"/>
      <c r="S16" s="269">
        <v>40320</v>
      </c>
      <c r="T16" s="269"/>
      <c r="U16" s="269"/>
      <c r="V16" s="268"/>
      <c r="W16" s="268"/>
      <c r="X16" s="6"/>
    </row>
    <row r="17" spans="1:24" ht="15.75" customHeight="1" x14ac:dyDescent="0.3">
      <c r="A17" s="260"/>
      <c r="B17" s="91"/>
      <c r="C17" s="378"/>
      <c r="D17" s="378" t="s">
        <v>539</v>
      </c>
      <c r="E17" s="378"/>
      <c r="F17" s="91"/>
      <c r="G17" s="91"/>
      <c r="H17" s="91"/>
      <c r="I17" s="91" t="s">
        <v>540</v>
      </c>
      <c r="J17" s="91"/>
      <c r="K17" s="91"/>
      <c r="L17" s="91"/>
      <c r="M17" s="261"/>
      <c r="N17" s="267"/>
      <c r="O17" s="268"/>
      <c r="P17" s="268"/>
      <c r="Q17" s="269">
        <v>40320</v>
      </c>
      <c r="R17" s="268"/>
      <c r="S17" s="269">
        <v>40320</v>
      </c>
      <c r="T17" s="269"/>
      <c r="U17" s="269"/>
      <c r="V17" s="268"/>
      <c r="W17" s="268"/>
      <c r="X17" s="6"/>
    </row>
    <row r="18" spans="1:24" ht="15.75" customHeight="1" x14ac:dyDescent="0.3">
      <c r="A18" s="260"/>
      <c r="B18" s="91"/>
      <c r="C18" s="378" t="s">
        <v>541</v>
      </c>
      <c r="D18" s="378"/>
      <c r="E18" s="378"/>
      <c r="F18" s="91"/>
      <c r="G18" s="91" t="s">
        <v>542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2709587</v>
      </c>
      <c r="R18" s="268"/>
      <c r="S18" s="269">
        <v>2709587</v>
      </c>
      <c r="T18" s="269"/>
      <c r="U18" s="269"/>
      <c r="V18" s="268"/>
      <c r="W18" s="268"/>
      <c r="X18" s="6"/>
    </row>
    <row r="19" spans="1:24" ht="15.75" customHeight="1" x14ac:dyDescent="0.3">
      <c r="A19" s="260"/>
      <c r="B19" s="91"/>
      <c r="C19" s="378"/>
      <c r="D19" s="378" t="s">
        <v>543</v>
      </c>
      <c r="E19" s="378"/>
      <c r="F19" s="91"/>
      <c r="G19" s="91"/>
      <c r="H19" s="91"/>
      <c r="I19" s="91" t="s">
        <v>544</v>
      </c>
      <c r="J19" s="91"/>
      <c r="K19" s="91"/>
      <c r="L19" s="91"/>
      <c r="M19" s="261"/>
      <c r="N19" s="267"/>
      <c r="O19" s="268"/>
      <c r="P19" s="268"/>
      <c r="Q19" s="269">
        <v>63790</v>
      </c>
      <c r="R19" s="268"/>
      <c r="S19" s="269">
        <v>63790</v>
      </c>
      <c r="T19" s="269"/>
      <c r="U19" s="269"/>
      <c r="V19" s="268"/>
      <c r="W19" s="268"/>
      <c r="X19" s="6"/>
    </row>
    <row r="20" spans="1:24" ht="15.75" customHeight="1" x14ac:dyDescent="0.3">
      <c r="A20" s="260"/>
      <c r="B20" s="91"/>
      <c r="C20" s="378"/>
      <c r="D20" s="378" t="s">
        <v>545</v>
      </c>
      <c r="E20" s="378"/>
      <c r="F20" s="91"/>
      <c r="G20" s="91"/>
      <c r="H20" s="91"/>
      <c r="I20" s="91" t="s">
        <v>546</v>
      </c>
      <c r="J20" s="91"/>
      <c r="K20" s="91"/>
      <c r="L20" s="91"/>
      <c r="M20" s="261"/>
      <c r="N20" s="267"/>
      <c r="O20" s="268"/>
      <c r="P20" s="268"/>
      <c r="Q20" s="269">
        <v>2645797</v>
      </c>
      <c r="R20" s="268"/>
      <c r="S20" s="269">
        <v>2645797</v>
      </c>
      <c r="T20" s="269"/>
      <c r="U20" s="269"/>
      <c r="V20" s="268"/>
      <c r="W20" s="268"/>
      <c r="X20" s="6"/>
    </row>
    <row r="21" spans="1:24" ht="15.75" customHeight="1" x14ac:dyDescent="0.3">
      <c r="A21" s="260"/>
      <c r="B21" s="91"/>
      <c r="C21" s="378" t="s">
        <v>547</v>
      </c>
      <c r="D21" s="378"/>
      <c r="E21" s="378"/>
      <c r="F21" s="91"/>
      <c r="G21" s="91" t="s">
        <v>548</v>
      </c>
      <c r="H21" s="91"/>
      <c r="I21" s="91"/>
      <c r="J21" s="91"/>
      <c r="K21" s="91"/>
      <c r="L21" s="91"/>
      <c r="M21" s="261"/>
      <c r="N21" s="267"/>
      <c r="O21" s="268"/>
      <c r="P21" s="268"/>
      <c r="Q21" s="269">
        <v>365260</v>
      </c>
      <c r="R21" s="268"/>
      <c r="S21" s="269">
        <v>365260</v>
      </c>
      <c r="T21" s="269"/>
      <c r="U21" s="269"/>
      <c r="V21" s="268"/>
      <c r="W21" s="268"/>
      <c r="X21" s="6"/>
    </row>
    <row r="22" spans="1:24" ht="15.75" customHeight="1" x14ac:dyDescent="0.3">
      <c r="A22" s="260"/>
      <c r="B22" s="91"/>
      <c r="C22" s="378"/>
      <c r="D22" s="378" t="s">
        <v>549</v>
      </c>
      <c r="E22" s="378"/>
      <c r="F22" s="91"/>
      <c r="G22" s="91"/>
      <c r="H22" s="91"/>
      <c r="I22" s="91" t="s">
        <v>550</v>
      </c>
      <c r="J22" s="91"/>
      <c r="K22" s="91"/>
      <c r="L22" s="91"/>
      <c r="M22" s="261"/>
      <c r="N22" s="267"/>
      <c r="O22" s="268"/>
      <c r="P22" s="268"/>
      <c r="Q22" s="269">
        <v>365260</v>
      </c>
      <c r="R22" s="268"/>
      <c r="S22" s="269">
        <v>365260</v>
      </c>
      <c r="T22" s="269"/>
      <c r="U22" s="269"/>
      <c r="V22" s="268"/>
      <c r="W22" s="268"/>
      <c r="X22" s="6"/>
    </row>
    <row r="23" spans="1:24" ht="15.75" customHeight="1" x14ac:dyDescent="0.3">
      <c r="A23" s="260"/>
      <c r="B23" s="91"/>
      <c r="C23" s="91" t="s">
        <v>551</v>
      </c>
      <c r="D23" s="91"/>
      <c r="E23" s="91"/>
      <c r="F23" s="91"/>
      <c r="G23" s="91" t="s">
        <v>552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102132</v>
      </c>
      <c r="R23" s="268"/>
      <c r="S23" s="269">
        <v>102132</v>
      </c>
      <c r="T23" s="269"/>
      <c r="U23" s="269"/>
      <c r="V23" s="268"/>
      <c r="W23" s="268"/>
      <c r="X23" s="6"/>
    </row>
    <row r="24" spans="1:24" ht="15.75" customHeight="1" x14ac:dyDescent="0.3">
      <c r="A24" s="260"/>
      <c r="B24" s="91"/>
      <c r="C24" s="91"/>
      <c r="D24" s="91" t="s">
        <v>553</v>
      </c>
      <c r="E24" s="91"/>
      <c r="F24" s="91"/>
      <c r="G24" s="91"/>
      <c r="H24" s="91"/>
      <c r="I24" s="91" t="s">
        <v>554</v>
      </c>
      <c r="J24" s="91"/>
      <c r="K24" s="91"/>
      <c r="L24" s="91"/>
      <c r="M24" s="261"/>
      <c r="N24" s="267"/>
      <c r="O24" s="268"/>
      <c r="P24" s="268"/>
      <c r="Q24" s="269">
        <v>102132</v>
      </c>
      <c r="R24" s="268"/>
      <c r="S24" s="269">
        <v>102132</v>
      </c>
      <c r="T24" s="269"/>
      <c r="U24" s="269"/>
      <c r="V24" s="268"/>
      <c r="W24" s="268"/>
      <c r="X24" s="6"/>
    </row>
    <row r="25" spans="1:24" ht="15.75" customHeight="1" x14ac:dyDescent="0.3">
      <c r="A25" s="260"/>
      <c r="B25" s="91" t="s">
        <v>518</v>
      </c>
      <c r="C25" s="91"/>
      <c r="D25" s="91"/>
      <c r="E25" s="91"/>
      <c r="F25" s="91" t="s">
        <v>555</v>
      </c>
      <c r="G25" s="91"/>
      <c r="H25" s="91"/>
      <c r="I25" s="91"/>
      <c r="J25" s="91"/>
      <c r="K25" s="91"/>
      <c r="L25" s="91"/>
      <c r="M25" s="261"/>
      <c r="N25" s="267"/>
      <c r="O25" s="268">
        <v>1096000</v>
      </c>
      <c r="P25" s="268"/>
      <c r="Q25" s="269">
        <v>76510</v>
      </c>
      <c r="R25" s="268"/>
      <c r="S25" s="269">
        <v>-1019490</v>
      </c>
      <c r="T25" s="269"/>
      <c r="U25" s="269"/>
      <c r="V25" s="268"/>
      <c r="W25" s="268" t="s">
        <v>556</v>
      </c>
      <c r="X25" s="6"/>
    </row>
    <row r="26" spans="1:24" ht="15.75" customHeight="1" x14ac:dyDescent="0.3">
      <c r="A26" s="260"/>
      <c r="B26" s="91"/>
      <c r="C26" s="91" t="s">
        <v>557</v>
      </c>
      <c r="D26" s="91"/>
      <c r="E26" s="91"/>
      <c r="F26" s="91"/>
      <c r="G26" s="91" t="s">
        <v>558</v>
      </c>
      <c r="H26" s="91"/>
      <c r="I26" s="91"/>
      <c r="J26" s="91"/>
      <c r="K26" s="91"/>
      <c r="L26" s="91"/>
      <c r="M26" s="261"/>
      <c r="N26" s="267"/>
      <c r="O26" s="268"/>
      <c r="P26" s="268"/>
      <c r="Q26" s="269">
        <v>14500</v>
      </c>
      <c r="R26" s="268"/>
      <c r="S26" s="269">
        <v>14500</v>
      </c>
      <c r="T26" s="269"/>
      <c r="U26" s="269"/>
      <c r="V26" s="268"/>
      <c r="W26" s="268"/>
      <c r="X26" s="6"/>
    </row>
    <row r="27" spans="1:24" ht="15.75" customHeight="1" x14ac:dyDescent="0.3">
      <c r="A27" s="260"/>
      <c r="B27" s="91"/>
      <c r="C27" s="91"/>
      <c r="D27" s="91" t="s">
        <v>559</v>
      </c>
      <c r="E27" s="91"/>
      <c r="F27" s="91"/>
      <c r="G27" s="91"/>
      <c r="H27" s="91"/>
      <c r="I27" s="91" t="s">
        <v>560</v>
      </c>
      <c r="J27" s="91"/>
      <c r="K27" s="91"/>
      <c r="L27" s="91"/>
      <c r="M27" s="261"/>
      <c r="N27" s="267"/>
      <c r="O27" s="268"/>
      <c r="P27" s="268"/>
      <c r="Q27" s="269">
        <v>14500</v>
      </c>
      <c r="R27" s="268"/>
      <c r="S27" s="269">
        <v>14500</v>
      </c>
      <c r="T27" s="269"/>
      <c r="U27" s="269"/>
      <c r="V27" s="268"/>
      <c r="W27" s="268"/>
      <c r="X27" s="6"/>
    </row>
    <row r="28" spans="1:24" ht="15.75" customHeight="1" x14ac:dyDescent="0.3">
      <c r="A28" s="260"/>
      <c r="B28" s="91"/>
      <c r="C28" s="91" t="s">
        <v>561</v>
      </c>
      <c r="D28" s="91"/>
      <c r="E28" s="91"/>
      <c r="F28" s="91"/>
      <c r="G28" s="91" t="s">
        <v>562</v>
      </c>
      <c r="H28" s="91"/>
      <c r="I28" s="91"/>
      <c r="J28" s="91"/>
      <c r="K28" s="91"/>
      <c r="L28" s="91"/>
      <c r="M28" s="261"/>
      <c r="N28" s="267"/>
      <c r="O28" s="269"/>
      <c r="P28" s="268"/>
      <c r="Q28" s="269">
        <v>62010</v>
      </c>
      <c r="R28" s="268"/>
      <c r="S28" s="269">
        <v>62010</v>
      </c>
      <c r="T28" s="269"/>
      <c r="U28" s="269"/>
      <c r="V28" s="268"/>
      <c r="W28" s="269"/>
      <c r="X28" s="6"/>
    </row>
    <row r="29" spans="1:24" ht="15.75" customHeight="1" x14ac:dyDescent="0.3">
      <c r="A29" s="260"/>
      <c r="B29" s="91"/>
      <c r="C29" s="91"/>
      <c r="D29" s="91" t="s">
        <v>563</v>
      </c>
      <c r="E29" s="91"/>
      <c r="F29" s="91"/>
      <c r="G29" s="91"/>
      <c r="H29" s="91"/>
      <c r="I29" s="91" t="s">
        <v>564</v>
      </c>
      <c r="J29" s="91"/>
      <c r="K29" s="91"/>
      <c r="L29" s="91"/>
      <c r="M29" s="261"/>
      <c r="N29" s="267"/>
      <c r="O29" s="268"/>
      <c r="P29" s="268"/>
      <c r="Q29" s="269">
        <v>62010</v>
      </c>
      <c r="R29" s="268"/>
      <c r="S29" s="269">
        <v>62010</v>
      </c>
      <c r="T29" s="269"/>
      <c r="U29" s="269"/>
      <c r="V29" s="268"/>
      <c r="W29" s="268"/>
      <c r="X29" s="6"/>
    </row>
    <row r="30" spans="1:24" ht="15.75" customHeight="1" x14ac:dyDescent="0.3">
      <c r="A30" s="260"/>
      <c r="B30" s="91" t="s">
        <v>525</v>
      </c>
      <c r="C30" s="91"/>
      <c r="D30" s="91"/>
      <c r="E30" s="91"/>
      <c r="F30" s="91" t="s">
        <v>565</v>
      </c>
      <c r="G30" s="91"/>
      <c r="H30" s="91"/>
      <c r="I30" s="91"/>
      <c r="J30" s="91"/>
      <c r="K30" s="91"/>
      <c r="L30" s="91"/>
      <c r="M30" s="261"/>
      <c r="N30" s="267"/>
      <c r="O30" s="268">
        <v>287000</v>
      </c>
      <c r="P30" s="268"/>
      <c r="Q30" s="269"/>
      <c r="R30" s="268"/>
      <c r="S30" s="269">
        <v>-287000</v>
      </c>
      <c r="T30" s="269"/>
      <c r="U30" s="269"/>
      <c r="V30" s="268"/>
      <c r="W30" s="268" t="s">
        <v>566</v>
      </c>
      <c r="X30" s="6"/>
    </row>
    <row r="31" spans="1:24" ht="15.75" customHeight="1" x14ac:dyDescent="0.3">
      <c r="A31" s="260"/>
      <c r="B31" s="91" t="s">
        <v>567</v>
      </c>
      <c r="C31" s="91"/>
      <c r="D31" s="91"/>
      <c r="E31" s="91"/>
      <c r="F31" s="91" t="s">
        <v>568</v>
      </c>
      <c r="G31" s="91"/>
      <c r="H31" s="91"/>
      <c r="I31" s="91"/>
      <c r="J31" s="91"/>
      <c r="K31" s="91"/>
      <c r="L31" s="91"/>
      <c r="M31" s="261"/>
      <c r="N31" s="267"/>
      <c r="O31" s="268">
        <v>375000</v>
      </c>
      <c r="P31" s="268"/>
      <c r="Q31" s="269"/>
      <c r="R31" s="268"/>
      <c r="S31" s="269">
        <v>-375000</v>
      </c>
      <c r="T31" s="269"/>
      <c r="U31" s="269"/>
      <c r="V31" s="268"/>
      <c r="W31" s="268" t="s">
        <v>566</v>
      </c>
      <c r="X31" s="6"/>
    </row>
    <row r="32" spans="1:24" ht="15.75" customHeight="1" x14ac:dyDescent="0.3">
      <c r="A32" s="260"/>
      <c r="B32" s="91" t="s">
        <v>569</v>
      </c>
      <c r="C32" s="91"/>
      <c r="D32" s="91"/>
      <c r="E32" s="91"/>
      <c r="F32" s="91" t="s">
        <v>570</v>
      </c>
      <c r="G32" s="91"/>
      <c r="H32" s="91"/>
      <c r="I32" s="91"/>
      <c r="J32" s="91"/>
      <c r="K32" s="91"/>
      <c r="L32" s="91"/>
      <c r="M32" s="261"/>
      <c r="N32" s="267"/>
      <c r="O32" s="268">
        <v>22000</v>
      </c>
      <c r="P32" s="268"/>
      <c r="Q32" s="269"/>
      <c r="R32" s="268"/>
      <c r="S32" s="269">
        <v>-22000</v>
      </c>
      <c r="T32" s="269"/>
      <c r="U32" s="269"/>
      <c r="V32" s="268"/>
      <c r="W32" s="268" t="s">
        <v>566</v>
      </c>
      <c r="X32" s="6"/>
    </row>
    <row r="33" spans="1:24" ht="15.75" customHeight="1" x14ac:dyDescent="0.3">
      <c r="A33" s="260"/>
      <c r="B33" s="91" t="s">
        <v>571</v>
      </c>
      <c r="C33" s="91"/>
      <c r="D33" s="91"/>
      <c r="E33" s="91"/>
      <c r="F33" s="91" t="s">
        <v>208</v>
      </c>
      <c r="G33" s="91"/>
      <c r="H33" s="91"/>
      <c r="I33" s="91"/>
      <c r="J33" s="91"/>
      <c r="K33" s="91"/>
      <c r="L33" s="91"/>
      <c r="M33" s="261"/>
      <c r="N33" s="267"/>
      <c r="O33" s="268">
        <v>33000</v>
      </c>
      <c r="P33" s="268"/>
      <c r="Q33" s="269"/>
      <c r="R33" s="268"/>
      <c r="S33" s="269">
        <v>-33000</v>
      </c>
      <c r="T33" s="269"/>
      <c r="U33" s="269"/>
      <c r="V33" s="268"/>
      <c r="W33" s="268" t="s">
        <v>566</v>
      </c>
      <c r="X33" s="6"/>
    </row>
    <row r="34" spans="1:24" ht="15.75" customHeight="1" x14ac:dyDescent="0.3">
      <c r="A34" s="260"/>
      <c r="B34" s="91"/>
      <c r="C34" s="91"/>
      <c r="D34" s="91" t="s">
        <v>572</v>
      </c>
      <c r="E34" s="91"/>
      <c r="F34" s="91"/>
      <c r="G34" s="91"/>
      <c r="H34" s="91"/>
      <c r="I34" s="91"/>
      <c r="J34" s="91"/>
      <c r="K34" s="91"/>
      <c r="L34" s="91"/>
      <c r="M34" s="261"/>
      <c r="N34" s="267"/>
      <c r="O34" s="268">
        <v>36996000</v>
      </c>
      <c r="P34" s="268"/>
      <c r="Q34" s="269">
        <v>6972909</v>
      </c>
      <c r="R34" s="268"/>
      <c r="S34" s="269">
        <v>-30023091</v>
      </c>
      <c r="T34" s="269"/>
      <c r="U34" s="269"/>
      <c r="V34" s="268"/>
      <c r="W34" s="268" t="s">
        <v>573</v>
      </c>
      <c r="X34" s="6"/>
    </row>
    <row r="35" spans="1:24" ht="15.75" customHeight="1" x14ac:dyDescent="0.3">
      <c r="A35" s="260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261"/>
      <c r="N35" s="267"/>
      <c r="O35" s="268"/>
      <c r="P35" s="268"/>
      <c r="Q35" s="269"/>
      <c r="R35" s="268"/>
      <c r="S35" s="269"/>
      <c r="T35" s="269"/>
      <c r="U35" s="269"/>
      <c r="V35" s="268"/>
      <c r="W35" s="268"/>
      <c r="X35" s="6"/>
    </row>
    <row r="36" spans="1:24" ht="15.75" customHeight="1" x14ac:dyDescent="0.3">
      <c r="A36" s="260"/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261"/>
      <c r="N36" s="267"/>
      <c r="O36" s="268"/>
      <c r="P36" s="268"/>
      <c r="Q36" s="269"/>
      <c r="R36" s="268"/>
      <c r="S36" s="269"/>
      <c r="T36" s="269"/>
      <c r="U36" s="269"/>
      <c r="V36" s="268"/>
      <c r="W36" s="268"/>
      <c r="X36" s="6"/>
    </row>
    <row r="37" spans="1:24" ht="15.6" customHeight="1" x14ac:dyDescent="0.3">
      <c r="A37" s="26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263"/>
      <c r="N37" s="270"/>
      <c r="O37" s="271"/>
      <c r="P37" s="271"/>
      <c r="Q37" s="272"/>
      <c r="R37" s="271"/>
      <c r="S37" s="272"/>
      <c r="T37" s="272"/>
      <c r="U37" s="272"/>
      <c r="V37" s="271"/>
      <c r="W37" s="271"/>
      <c r="X37" s="6"/>
    </row>
    <row r="38" spans="1:24" ht="15.75" customHeight="1" x14ac:dyDescent="0.3">
      <c r="A38" s="258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259"/>
      <c r="N38" s="264"/>
      <c r="O38" s="266"/>
      <c r="P38" s="266"/>
      <c r="Q38" s="265"/>
      <c r="R38" s="266"/>
      <c r="S38" s="265"/>
      <c r="T38" s="265"/>
      <c r="U38" s="265"/>
      <c r="V38" s="266"/>
      <c r="W38" s="266"/>
      <c r="X38" s="6"/>
    </row>
    <row r="39" spans="1:24" ht="15.75" customHeight="1" x14ac:dyDescent="0.3">
      <c r="A39" s="260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261"/>
      <c r="N39" s="267"/>
      <c r="O39" s="268"/>
      <c r="P39" s="268"/>
      <c r="Q39" s="269"/>
      <c r="R39" s="268"/>
      <c r="S39" s="269"/>
      <c r="T39" s="269"/>
      <c r="U39" s="269"/>
      <c r="V39" s="268"/>
      <c r="W39" s="268"/>
      <c r="X39" s="6"/>
    </row>
    <row r="40" spans="1:24" ht="15.75" customHeight="1" x14ac:dyDescent="0.3">
      <c r="A40" s="260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261"/>
      <c r="N40" s="267"/>
      <c r="O40" s="268"/>
      <c r="P40" s="268"/>
      <c r="Q40" s="269"/>
      <c r="R40" s="268"/>
      <c r="S40" s="269"/>
      <c r="T40" s="269"/>
      <c r="U40" s="269"/>
      <c r="V40" s="268"/>
      <c r="W40" s="268"/>
      <c r="X40" s="6"/>
    </row>
    <row r="41" spans="1:24" ht="15.75" customHeight="1" x14ac:dyDescent="0.3">
      <c r="A41" s="260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261"/>
      <c r="N41" s="267"/>
      <c r="O41" s="268"/>
      <c r="P41" s="268"/>
      <c r="Q41" s="269"/>
      <c r="R41" s="268"/>
      <c r="S41" s="269"/>
      <c r="T41" s="269"/>
      <c r="U41" s="269"/>
      <c r="V41" s="268"/>
      <c r="W41" s="268"/>
      <c r="X41" s="6"/>
    </row>
    <row r="42" spans="1:24" ht="15.75" customHeight="1" x14ac:dyDescent="0.3">
      <c r="A42" s="260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261"/>
      <c r="N42" s="267"/>
      <c r="O42" s="268"/>
      <c r="P42" s="268"/>
      <c r="Q42" s="269"/>
      <c r="R42" s="268"/>
      <c r="S42" s="269"/>
      <c r="T42" s="269"/>
      <c r="U42" s="269"/>
      <c r="V42" s="268"/>
      <c r="W42" s="268"/>
      <c r="X42" s="6"/>
    </row>
    <row r="43" spans="1:24" ht="15.75" customHeight="1" x14ac:dyDescent="0.3">
      <c r="A43" s="260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261"/>
      <c r="N43" s="267"/>
      <c r="O43" s="268"/>
      <c r="P43" s="268"/>
      <c r="Q43" s="269"/>
      <c r="R43" s="268"/>
      <c r="S43" s="269"/>
      <c r="T43" s="269"/>
      <c r="U43" s="269"/>
      <c r="V43" s="268"/>
      <c r="W43" s="268"/>
      <c r="X43" s="6"/>
    </row>
    <row r="44" spans="1:24" ht="15.75" customHeight="1" x14ac:dyDescent="0.3">
      <c r="A44" s="260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261"/>
      <c r="N44" s="267"/>
      <c r="O44" s="268"/>
      <c r="P44" s="268"/>
      <c r="Q44" s="269"/>
      <c r="R44" s="268"/>
      <c r="S44" s="269"/>
      <c r="T44" s="269"/>
      <c r="U44" s="269"/>
      <c r="V44" s="268"/>
      <c r="W44" s="268"/>
      <c r="X44" s="6"/>
    </row>
    <row r="45" spans="1:24" ht="15.75" customHeight="1" x14ac:dyDescent="0.3">
      <c r="A45" s="260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261"/>
      <c r="N45" s="267"/>
      <c r="O45" s="268"/>
      <c r="P45" s="268"/>
      <c r="Q45" s="269"/>
      <c r="R45" s="268"/>
      <c r="S45" s="269"/>
      <c r="T45" s="269"/>
      <c r="U45" s="269"/>
      <c r="V45" s="268"/>
      <c r="W45" s="268"/>
      <c r="X45" s="6"/>
    </row>
    <row r="46" spans="1:24" ht="15.75" customHeight="1" x14ac:dyDescent="0.3">
      <c r="A46" s="260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261"/>
      <c r="N46" s="267"/>
      <c r="O46" s="268"/>
      <c r="P46" s="268"/>
      <c r="Q46" s="269"/>
      <c r="R46" s="268"/>
      <c r="S46" s="269"/>
      <c r="T46" s="269"/>
      <c r="U46" s="269"/>
      <c r="V46" s="268"/>
      <c r="W46" s="268"/>
      <c r="X46" s="6"/>
    </row>
    <row r="47" spans="1:24" ht="15.75" customHeight="1" x14ac:dyDescent="0.3">
      <c r="A47" s="260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261"/>
      <c r="N47" s="267"/>
      <c r="O47" s="268"/>
      <c r="P47" s="268"/>
      <c r="Q47" s="269"/>
      <c r="R47" s="268"/>
      <c r="S47" s="269"/>
      <c r="T47" s="269"/>
      <c r="U47" s="269"/>
      <c r="V47" s="268"/>
      <c r="W47" s="268"/>
      <c r="X47" s="6"/>
    </row>
    <row r="48" spans="1:24" ht="15.75" customHeight="1" x14ac:dyDescent="0.3">
      <c r="A48" s="260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261"/>
      <c r="N48" s="267"/>
      <c r="O48" s="268"/>
      <c r="P48" s="268"/>
      <c r="Q48" s="269"/>
      <c r="R48" s="268"/>
      <c r="S48" s="269"/>
      <c r="T48" s="269"/>
      <c r="U48" s="269"/>
      <c r="V48" s="268"/>
      <c r="W48" s="268"/>
      <c r="X48" s="6"/>
    </row>
    <row r="49" spans="1:24" ht="15.75" customHeight="1" x14ac:dyDescent="0.3">
      <c r="A49" s="260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261"/>
      <c r="N49" s="267"/>
      <c r="O49" s="268"/>
      <c r="P49" s="268"/>
      <c r="Q49" s="269"/>
      <c r="R49" s="268"/>
      <c r="S49" s="269"/>
      <c r="T49" s="269"/>
      <c r="U49" s="269"/>
      <c r="V49" s="268"/>
      <c r="W49" s="268"/>
      <c r="X49" s="6"/>
    </row>
    <row r="50" spans="1:24" ht="15.75" customHeight="1" x14ac:dyDescent="0.3">
      <c r="A50" s="260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261"/>
      <c r="N50" s="267"/>
      <c r="O50" s="268"/>
      <c r="P50" s="268"/>
      <c r="Q50" s="269"/>
      <c r="R50" s="268"/>
      <c r="S50" s="269"/>
      <c r="T50" s="269"/>
      <c r="U50" s="269"/>
      <c r="V50" s="268"/>
      <c r="W50" s="268"/>
      <c r="X50" s="6"/>
    </row>
    <row r="51" spans="1:24" ht="15.75" customHeight="1" x14ac:dyDescent="0.3">
      <c r="A51" s="260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261"/>
      <c r="N51" s="267"/>
      <c r="O51" s="268"/>
      <c r="P51" s="268"/>
      <c r="Q51" s="269"/>
      <c r="R51" s="268"/>
      <c r="S51" s="269"/>
      <c r="T51" s="269"/>
      <c r="U51" s="269"/>
      <c r="V51" s="268"/>
      <c r="W51" s="268"/>
      <c r="X51" s="6"/>
    </row>
    <row r="52" spans="1:24" ht="15.75" customHeight="1" x14ac:dyDescent="0.3">
      <c r="A52" s="260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261"/>
      <c r="N52" s="267"/>
      <c r="O52" s="268"/>
      <c r="P52" s="268"/>
      <c r="Q52" s="269"/>
      <c r="R52" s="268"/>
      <c r="S52" s="269"/>
      <c r="T52" s="269"/>
      <c r="U52" s="269"/>
      <c r="V52" s="268"/>
      <c r="W52" s="268"/>
      <c r="X52" s="6"/>
    </row>
    <row r="53" spans="1:24" ht="15.75" customHeight="1" x14ac:dyDescent="0.3">
      <c r="A53" s="260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261"/>
      <c r="N53" s="267"/>
      <c r="O53" s="268"/>
      <c r="P53" s="268"/>
      <c r="Q53" s="269"/>
      <c r="R53" s="268"/>
      <c r="S53" s="269"/>
      <c r="T53" s="269"/>
      <c r="U53" s="269"/>
      <c r="V53" s="268"/>
      <c r="W53" s="268"/>
      <c r="X53" s="6"/>
    </row>
    <row r="54" spans="1:24" ht="15.75" customHeight="1" x14ac:dyDescent="0.3">
      <c r="A54" s="260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261"/>
      <c r="N54" s="267"/>
      <c r="O54" s="269"/>
      <c r="P54" s="268"/>
      <c r="Q54" s="269"/>
      <c r="R54" s="268"/>
      <c r="S54" s="269"/>
      <c r="T54" s="269"/>
      <c r="U54" s="269"/>
      <c r="V54" s="268"/>
      <c r="W54" s="269"/>
      <c r="X54" s="6"/>
    </row>
    <row r="55" spans="1:24" ht="15.75" customHeight="1" x14ac:dyDescent="0.3">
      <c r="A55" s="260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261"/>
      <c r="N55" s="267"/>
      <c r="O55" s="268"/>
      <c r="P55" s="268"/>
      <c r="Q55" s="269"/>
      <c r="R55" s="268"/>
      <c r="S55" s="269"/>
      <c r="T55" s="269"/>
      <c r="U55" s="269"/>
      <c r="V55" s="268"/>
      <c r="W55" s="268"/>
      <c r="X55" s="6"/>
    </row>
    <row r="56" spans="1:24" ht="15.75" customHeight="1" x14ac:dyDescent="0.3">
      <c r="A56" s="260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261"/>
      <c r="N56" s="267"/>
      <c r="O56" s="268"/>
      <c r="P56" s="268"/>
      <c r="Q56" s="269"/>
      <c r="R56" s="268"/>
      <c r="S56" s="269"/>
      <c r="T56" s="269"/>
      <c r="U56" s="269"/>
      <c r="V56" s="268"/>
      <c r="W56" s="268"/>
      <c r="X56" s="6"/>
    </row>
    <row r="57" spans="1:24" ht="15.75" customHeight="1" x14ac:dyDescent="0.3">
      <c r="A57" s="260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261"/>
      <c r="N57" s="267"/>
      <c r="O57" s="268"/>
      <c r="P57" s="268"/>
      <c r="Q57" s="269"/>
      <c r="R57" s="268"/>
      <c r="S57" s="269"/>
      <c r="T57" s="269"/>
      <c r="U57" s="269"/>
      <c r="V57" s="268"/>
      <c r="W57" s="268"/>
      <c r="X57" s="6"/>
    </row>
    <row r="58" spans="1:24" ht="15.75" customHeight="1" x14ac:dyDescent="0.3">
      <c r="A58" s="260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261"/>
      <c r="N58" s="267"/>
      <c r="O58" s="268"/>
      <c r="P58" s="268"/>
      <c r="Q58" s="269"/>
      <c r="R58" s="268"/>
      <c r="S58" s="269"/>
      <c r="T58" s="269"/>
      <c r="U58" s="269"/>
      <c r="V58" s="268"/>
      <c r="W58" s="268"/>
      <c r="X58" s="6"/>
    </row>
    <row r="59" spans="1:24" ht="15.75" customHeight="1" x14ac:dyDescent="0.3">
      <c r="A59" s="260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261"/>
      <c r="N59" s="267"/>
      <c r="O59" s="268"/>
      <c r="P59" s="268"/>
      <c r="Q59" s="269"/>
      <c r="R59" s="268"/>
      <c r="S59" s="269"/>
      <c r="T59" s="269"/>
      <c r="U59" s="269"/>
      <c r="V59" s="268"/>
      <c r="W59" s="268"/>
      <c r="X59" s="6"/>
    </row>
    <row r="60" spans="1:24" ht="15.75" customHeight="1" x14ac:dyDescent="0.3">
      <c r="A60" s="260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261"/>
      <c r="N60" s="267"/>
      <c r="O60" s="268"/>
      <c r="P60" s="268"/>
      <c r="Q60" s="269"/>
      <c r="R60" s="268"/>
      <c r="S60" s="269"/>
      <c r="T60" s="269"/>
      <c r="U60" s="269"/>
      <c r="V60" s="268"/>
      <c r="W60" s="268"/>
      <c r="X60" s="6"/>
    </row>
    <row r="61" spans="1:24" ht="15.75" customHeight="1" x14ac:dyDescent="0.3">
      <c r="A61" s="260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261"/>
      <c r="N61" s="267"/>
      <c r="O61" s="268"/>
      <c r="P61" s="268"/>
      <c r="Q61" s="269"/>
      <c r="R61" s="268"/>
      <c r="S61" s="269"/>
      <c r="T61" s="269"/>
      <c r="U61" s="269"/>
      <c r="V61" s="268"/>
      <c r="W61" s="268"/>
      <c r="X61" s="6"/>
    </row>
    <row r="62" spans="1:24" ht="15.75" customHeight="1" x14ac:dyDescent="0.3">
      <c r="A62" s="260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261"/>
      <c r="N62" s="267"/>
      <c r="O62" s="268"/>
      <c r="P62" s="268"/>
      <c r="Q62" s="269"/>
      <c r="R62" s="268"/>
      <c r="S62" s="269"/>
      <c r="T62" s="269"/>
      <c r="U62" s="269"/>
      <c r="V62" s="268"/>
      <c r="W62" s="268"/>
      <c r="X62" s="6"/>
    </row>
    <row r="63" spans="1:24" ht="15.75" customHeight="1" x14ac:dyDescent="0.3">
      <c r="A63" s="26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263"/>
      <c r="N63" s="270"/>
      <c r="O63" s="271"/>
      <c r="P63" s="271"/>
      <c r="Q63" s="272"/>
      <c r="R63" s="271"/>
      <c r="S63" s="272"/>
      <c r="T63" s="272"/>
      <c r="U63" s="272"/>
      <c r="V63" s="271"/>
      <c r="W63" s="271"/>
      <c r="X63" s="6"/>
    </row>
    <row r="64" spans="1:24" ht="15.75" customHeight="1" x14ac:dyDescent="0.3">
      <c r="A64" s="258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259"/>
      <c r="N64" s="264"/>
      <c r="O64" s="265"/>
      <c r="P64" s="266"/>
      <c r="Q64" s="266"/>
      <c r="R64" s="266"/>
      <c r="S64" s="265"/>
      <c r="T64" s="265"/>
      <c r="U64" s="265"/>
      <c r="V64" s="266"/>
      <c r="W64" s="265"/>
      <c r="X64" s="6"/>
    </row>
    <row r="65" spans="1:24" ht="15.75" customHeight="1" x14ac:dyDescent="0.3">
      <c r="A65" s="260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261"/>
      <c r="N65" s="267"/>
      <c r="O65" s="269"/>
      <c r="P65" s="268"/>
      <c r="Q65" s="269"/>
      <c r="R65" s="268"/>
      <c r="S65" s="269"/>
      <c r="T65" s="269"/>
      <c r="U65" s="269"/>
      <c r="V65" s="268"/>
      <c r="W65" s="269"/>
      <c r="X65" s="6"/>
    </row>
    <row r="66" spans="1:24" ht="15.75" customHeight="1" x14ac:dyDescent="0.3">
      <c r="A66" s="260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261"/>
      <c r="N66" s="267"/>
      <c r="O66" s="269"/>
      <c r="P66" s="268"/>
      <c r="Q66" s="269"/>
      <c r="R66" s="268"/>
      <c r="S66" s="269"/>
      <c r="T66" s="269"/>
      <c r="U66" s="269"/>
      <c r="V66" s="268"/>
      <c r="W66" s="269"/>
      <c r="X66" s="6"/>
    </row>
    <row r="67" spans="1:24" ht="15.75" customHeight="1" x14ac:dyDescent="0.3">
      <c r="A67" s="260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261"/>
      <c r="N67" s="267"/>
      <c r="O67" s="269"/>
      <c r="P67" s="268"/>
      <c r="Q67" s="269"/>
      <c r="R67" s="268"/>
      <c r="S67" s="269"/>
      <c r="T67" s="269"/>
      <c r="U67" s="269"/>
      <c r="V67" s="268"/>
      <c r="W67" s="269"/>
      <c r="X67" s="6"/>
    </row>
    <row r="68" spans="1:24" ht="15.75" customHeight="1" x14ac:dyDescent="0.3">
      <c r="A68" s="260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261"/>
      <c r="N68" s="267"/>
      <c r="O68" s="269"/>
      <c r="P68" s="268"/>
      <c r="Q68" s="269"/>
      <c r="R68" s="268"/>
      <c r="S68" s="269"/>
      <c r="T68" s="269"/>
      <c r="U68" s="269"/>
      <c r="V68" s="268"/>
      <c r="W68" s="269"/>
      <c r="X68" s="6"/>
    </row>
    <row r="69" spans="1:24" ht="15.75" customHeight="1" x14ac:dyDescent="0.3">
      <c r="A69" s="260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261"/>
      <c r="N69" s="267"/>
      <c r="O69" s="269"/>
      <c r="P69" s="268"/>
      <c r="Q69" s="269"/>
      <c r="R69" s="268"/>
      <c r="S69" s="269"/>
      <c r="T69" s="269"/>
      <c r="U69" s="269"/>
      <c r="V69" s="268"/>
      <c r="W69" s="269"/>
      <c r="X69" s="6"/>
    </row>
    <row r="70" spans="1:24" ht="15.75" customHeight="1" x14ac:dyDescent="0.3">
      <c r="A70" s="260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261"/>
      <c r="N70" s="267"/>
      <c r="O70" s="268"/>
      <c r="P70" s="268"/>
      <c r="Q70" s="269"/>
      <c r="R70" s="268"/>
      <c r="S70" s="269"/>
      <c r="T70" s="269"/>
      <c r="U70" s="269"/>
      <c r="V70" s="268"/>
      <c r="W70" s="268"/>
      <c r="X70" s="6"/>
    </row>
    <row r="71" spans="1:24" ht="15.75" customHeight="1" x14ac:dyDescent="0.3">
      <c r="A71" s="260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261"/>
      <c r="N71" s="267"/>
      <c r="O71" s="268"/>
      <c r="P71" s="268"/>
      <c r="Q71" s="269"/>
      <c r="R71" s="268"/>
      <c r="S71" s="269"/>
      <c r="T71" s="269"/>
      <c r="U71" s="269"/>
      <c r="V71" s="268"/>
      <c r="W71" s="268"/>
      <c r="X71" s="6"/>
    </row>
    <row r="72" spans="1:24" ht="15.75" customHeight="1" x14ac:dyDescent="0.3">
      <c r="A72" s="260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261"/>
      <c r="N72" s="267"/>
      <c r="O72" s="268"/>
      <c r="P72" s="268"/>
      <c r="Q72" s="269"/>
      <c r="R72" s="268"/>
      <c r="S72" s="269"/>
      <c r="T72" s="269"/>
      <c r="U72" s="269"/>
      <c r="V72" s="268"/>
      <c r="W72" s="268"/>
      <c r="X72" s="6"/>
    </row>
    <row r="73" spans="1:24" ht="15.75" customHeight="1" x14ac:dyDescent="0.3">
      <c r="A73" s="260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61"/>
      <c r="N73" s="267"/>
      <c r="O73" s="268"/>
      <c r="P73" s="268"/>
      <c r="Q73" s="269"/>
      <c r="R73" s="268"/>
      <c r="S73" s="269"/>
      <c r="T73" s="269"/>
      <c r="U73" s="269"/>
      <c r="V73" s="268"/>
      <c r="W73" s="268"/>
      <c r="X73" s="6"/>
    </row>
    <row r="74" spans="1:24" ht="15.75" customHeight="1" x14ac:dyDescent="0.3">
      <c r="A74" s="260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1"/>
      <c r="N74" s="267"/>
      <c r="O74" s="268"/>
      <c r="P74" s="268"/>
      <c r="Q74" s="269"/>
      <c r="R74" s="268"/>
      <c r="S74" s="269"/>
      <c r="T74" s="269"/>
      <c r="U74" s="269"/>
      <c r="V74" s="268"/>
      <c r="W74" s="268"/>
      <c r="X74" s="6"/>
    </row>
    <row r="75" spans="1:24" ht="15.75" customHeight="1" x14ac:dyDescent="0.3">
      <c r="A75" s="260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/>
      <c r="P75" s="268"/>
      <c r="Q75" s="269"/>
      <c r="R75" s="268"/>
      <c r="S75" s="269"/>
      <c r="T75" s="269"/>
      <c r="U75" s="269"/>
      <c r="V75" s="268"/>
      <c r="W75" s="268"/>
      <c r="X75" s="6"/>
    </row>
    <row r="76" spans="1:24" ht="15.75" customHeight="1" x14ac:dyDescent="0.3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 x14ac:dyDescent="0.3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 x14ac:dyDescent="0.3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 x14ac:dyDescent="0.3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 x14ac:dyDescent="0.3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 x14ac:dyDescent="0.3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 x14ac:dyDescent="0.3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 x14ac:dyDescent="0.3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 x14ac:dyDescent="0.3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 x14ac:dyDescent="0.3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 x14ac:dyDescent="0.3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 x14ac:dyDescent="0.25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 x14ac:dyDescent="0.25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 x14ac:dyDescent="0.25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 x14ac:dyDescent="0.25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 x14ac:dyDescent="0.25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 x14ac:dyDescent="0.25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 x14ac:dyDescent="0.25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 x14ac:dyDescent="0.25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 x14ac:dyDescent="0.25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 x14ac:dyDescent="0.25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 x14ac:dyDescent="0.25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 x14ac:dyDescent="0.25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 x14ac:dyDescent="0.25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 x14ac:dyDescent="0.25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 x14ac:dyDescent="0.25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 x14ac:dyDescent="0.25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 x14ac:dyDescent="0.25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 x14ac:dyDescent="0.25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 x14ac:dyDescent="0.25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 x14ac:dyDescent="0.25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 x14ac:dyDescent="0.25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 x14ac:dyDescent="0.25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 x14ac:dyDescent="0.25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 x14ac:dyDescent="0.25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 x14ac:dyDescent="0.25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 x14ac:dyDescent="0.25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 x14ac:dyDescent="0.25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 x14ac:dyDescent="0.25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 x14ac:dyDescent="0.25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 x14ac:dyDescent="0.25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 x14ac:dyDescent="0.25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 x14ac:dyDescent="0.25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 x14ac:dyDescent="0.25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 x14ac:dyDescent="0.25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 x14ac:dyDescent="0.25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 x14ac:dyDescent="0.25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 x14ac:dyDescent="0.25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 x14ac:dyDescent="0.25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 x14ac:dyDescent="0.25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 x14ac:dyDescent="0.25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 x14ac:dyDescent="0.25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 x14ac:dyDescent="0.25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 x14ac:dyDescent="0.25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 x14ac:dyDescent="0.25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 x14ac:dyDescent="0.25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 x14ac:dyDescent="0.25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 x14ac:dyDescent="0.25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 x14ac:dyDescent="0.25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 x14ac:dyDescent="0.25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 x14ac:dyDescent="0.25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 x14ac:dyDescent="0.25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 x14ac:dyDescent="0.25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 x14ac:dyDescent="0.25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 x14ac:dyDescent="0.25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 x14ac:dyDescent="0.25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 x14ac:dyDescent="0.25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 x14ac:dyDescent="0.25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 x14ac:dyDescent="0.25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 x14ac:dyDescent="0.25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 x14ac:dyDescent="0.25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 x14ac:dyDescent="0.25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 x14ac:dyDescent="0.25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 x14ac:dyDescent="0.25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 x14ac:dyDescent="0.25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 x14ac:dyDescent="0.25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 x14ac:dyDescent="0.25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 x14ac:dyDescent="0.25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 x14ac:dyDescent="0.25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 x14ac:dyDescent="0.25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 x14ac:dyDescent="0.25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 x14ac:dyDescent="0.25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 x14ac:dyDescent="0.25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 x14ac:dyDescent="0.25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 x14ac:dyDescent="0.25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 x14ac:dyDescent="0.25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 x14ac:dyDescent="0.25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 x14ac:dyDescent="0.25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 x14ac:dyDescent="0.25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 x14ac:dyDescent="0.25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 x14ac:dyDescent="0.25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 x14ac:dyDescent="0.25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 x14ac:dyDescent="0.25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 x14ac:dyDescent="0.25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 x14ac:dyDescent="0.25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 x14ac:dyDescent="0.25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 x14ac:dyDescent="0.25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 x14ac:dyDescent="0.25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 x14ac:dyDescent="0.25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 x14ac:dyDescent="0.25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 x14ac:dyDescent="0.25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 x14ac:dyDescent="0.25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 x14ac:dyDescent="0.25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 x14ac:dyDescent="0.25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 x14ac:dyDescent="0.25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 x14ac:dyDescent="0.25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 x14ac:dyDescent="0.25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 x14ac:dyDescent="0.25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 x14ac:dyDescent="0.25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 x14ac:dyDescent="0.25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 x14ac:dyDescent="0.25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 x14ac:dyDescent="0.25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 x14ac:dyDescent="0.25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 x14ac:dyDescent="0.25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 x14ac:dyDescent="0.25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 x14ac:dyDescent="0.25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 x14ac:dyDescent="0.25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 x14ac:dyDescent="0.25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 x14ac:dyDescent="0.25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 x14ac:dyDescent="0.25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 x14ac:dyDescent="0.25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 x14ac:dyDescent="0.25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 x14ac:dyDescent="0.25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 x14ac:dyDescent="0.25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 x14ac:dyDescent="0.25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 x14ac:dyDescent="0.25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 x14ac:dyDescent="0.25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 x14ac:dyDescent="0.25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 x14ac:dyDescent="0.25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 x14ac:dyDescent="0.25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 x14ac:dyDescent="0.25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 x14ac:dyDescent="0.25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 x14ac:dyDescent="0.25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 x14ac:dyDescent="0.25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 x14ac:dyDescent="0.25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 x14ac:dyDescent="0.25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 x14ac:dyDescent="0.25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 x14ac:dyDescent="0.25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 x14ac:dyDescent="0.25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 x14ac:dyDescent="0.25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 x14ac:dyDescent="0.25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 x14ac:dyDescent="0.25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 x14ac:dyDescent="0.25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 x14ac:dyDescent="0.25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 x14ac:dyDescent="0.25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 x14ac:dyDescent="0.25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 x14ac:dyDescent="0.25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 x14ac:dyDescent="0.25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 x14ac:dyDescent="0.25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 x14ac:dyDescent="0.25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 x14ac:dyDescent="0.25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 x14ac:dyDescent="0.25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 x14ac:dyDescent="0.25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 x14ac:dyDescent="0.25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 x14ac:dyDescent="0.25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 x14ac:dyDescent="0.25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 x14ac:dyDescent="0.25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 x14ac:dyDescent="0.25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 x14ac:dyDescent="0.25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 x14ac:dyDescent="0.25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 x14ac:dyDescent="0.25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 x14ac:dyDescent="0.25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 x14ac:dyDescent="0.25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 x14ac:dyDescent="0.25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 x14ac:dyDescent="0.25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 x14ac:dyDescent="0.25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 x14ac:dyDescent="0.25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 x14ac:dyDescent="0.25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 x14ac:dyDescent="0.25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具名範圍</vt:lpstr>
      </vt:variant>
      <vt:variant>
        <vt:i4>17</vt:i4>
      </vt:variant>
    </vt:vector>
  </HeadingPairs>
  <TitlesOfParts>
    <vt:vector size="37" baseType="lpstr">
      <vt:lpstr>封面-移交</vt:lpstr>
      <vt:lpstr>勾稽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2022-02-09T02:04:10Z</cp:lastPrinted>
  <dcterms:created xsi:type="dcterms:W3CDTF">2016-11-01T23:05:09Z</dcterms:created>
  <dcterms:modified xsi:type="dcterms:W3CDTF">2022-02-25T05:17:00Z</dcterms:modified>
</cp:coreProperties>
</file>