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馬興-會計室\00馬興國小\001月報\月報110\"/>
    </mc:Choice>
  </mc:AlternateContent>
  <xr:revisionPtr revIDLastSave="0" documentId="13_ncr:1_{EC7DB61D-A1FD-40BD-B88D-ADFB3D65007B}" xr6:coauthVersionLast="36" xr6:coauthVersionMax="36" xr10:uidLastSave="{00000000-0000-0000-0000-000000000000}"/>
  <bookViews>
    <workbookView xWindow="-12" yWindow="72" windowWidth="15480" windowHeight="3780" tabRatio="800" firstSheet="2" activeTab="11" xr2:uid="{00000000-000D-0000-FFFF-FFFF00000000}"/>
  </bookViews>
  <sheets>
    <sheet name="封面-移交" sheetId="22" r:id="rId1"/>
    <sheet name="勾稽" sheetId="15" r:id="rId2"/>
    <sheet name="勾稽 (2)" sheetId="25" r:id="rId3"/>
    <sheet name="Sheet1" sheetId="26" r:id="rId4"/>
    <sheet name="封面" sheetId="14" r:id="rId5"/>
    <sheet name="餘絀表" sheetId="3" r:id="rId6"/>
    <sheet name="平衡" sheetId="1" r:id="rId7"/>
    <sheet name="主要業務" sheetId="5" r:id="rId8"/>
    <sheet name="資產" sheetId="21" r:id="rId9"/>
    <sheet name="各項費用" sheetId="9" r:id="rId10"/>
    <sheet name="落後原因" sheetId="10" r:id="rId11"/>
    <sheet name="收支" sheetId="23" r:id="rId12"/>
    <sheet name="對照表" sheetId="24" r:id="rId13"/>
    <sheet name="庫款差額" sheetId="11" r:id="rId14"/>
    <sheet name="縣庫對帳" sheetId="12" r:id="rId15"/>
    <sheet name="購健固定" sheetId="8" r:id="rId16"/>
    <sheet name="固定項目" sheetId="7" r:id="rId17"/>
    <sheet name="專戶差額" sheetId="16" r:id="rId18"/>
    <sheet name="保管品" sheetId="17" r:id="rId19"/>
    <sheet name="專戶對帳" sheetId="18" r:id="rId20"/>
    <sheet name="對帳通知單" sheetId="13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xlnm.Print_Area" localSheetId="6">平衡!$A$1:$V$49</definedName>
    <definedName name="_xlnm.Print_Area" localSheetId="9">各項費用!$A$1:$W$86</definedName>
    <definedName name="_xlnm.Print_Area" localSheetId="11">收支!$A$1:$N$41</definedName>
    <definedName name="_xlnm.Print_Area" localSheetId="16">固定項目!$A$1:$I$43</definedName>
    <definedName name="_xlnm.Print_Area" localSheetId="4">封面!$A$1:$N$18</definedName>
    <definedName name="_xlnm.Print_Area" localSheetId="0">'封面-移交'!$A$1:$N$18</definedName>
    <definedName name="_xlnm.Print_Area" localSheetId="13">庫款差額!$A$1:$C$25</definedName>
    <definedName name="_xlnm.Print_Area" localSheetId="17">專戶差額!$A$1:$L$45</definedName>
    <definedName name="_xlnm.Print_Area" localSheetId="10">落後原因!$A$1:$P$25</definedName>
    <definedName name="_xlnm.Print_Area" localSheetId="8">資產!$A$1:$G$33</definedName>
    <definedName name="_xlnm.Print_Area" localSheetId="20">對帳通知單!$A$1:$R$20</definedName>
    <definedName name="_xlnm.Print_Area" localSheetId="12">對照表!$A$1:$I$33</definedName>
    <definedName name="_xlnm.Print_Area" localSheetId="5">餘絀表!$A$1:$AD$47</definedName>
    <definedName name="_xlnm.Print_Area" localSheetId="14">縣庫對帳!$B$1:$L$25</definedName>
    <definedName name="_xlnm.Print_Titles" localSheetId="9">各項費用!$2:$10</definedName>
    <definedName name="_xlnm.Print_Titles" localSheetId="13">庫款差額!$1:$5</definedName>
    <definedName name="_xlnm.Print_Titles" localSheetId="14">縣庫對帳!$1:$3</definedName>
  </definedNames>
  <calcPr calcId="179021"/>
</workbook>
</file>

<file path=xl/calcChain.xml><?xml version="1.0" encoding="utf-8"?>
<calcChain xmlns="http://schemas.openxmlformats.org/spreadsheetml/2006/main">
  <c r="G29" i="25" l="1"/>
  <c r="H21" i="25"/>
  <c r="F14" i="25"/>
  <c r="E6" i="25" l="1"/>
  <c r="D6" i="25"/>
  <c r="N16" i="23"/>
  <c r="N18" i="23"/>
  <c r="N19" i="23"/>
  <c r="N20" i="23"/>
  <c r="N21" i="23"/>
  <c r="N23" i="23"/>
  <c r="N25" i="23"/>
  <c r="N28" i="23"/>
  <c r="N30" i="23"/>
  <c r="N32" i="23"/>
  <c r="N34" i="23"/>
  <c r="N36" i="23"/>
  <c r="N38" i="23"/>
  <c r="N39" i="23"/>
  <c r="I17" i="23" l="1"/>
  <c r="N17" i="23" s="1"/>
  <c r="Y111" i="26"/>
  <c r="Y106" i="26"/>
  <c r="Y100" i="26"/>
  <c r="Y121" i="26"/>
  <c r="Y122" i="26" s="1"/>
  <c r="T28" i="1"/>
  <c r="G31" i="25" l="1"/>
  <c r="I35" i="23" l="1"/>
  <c r="N35" i="23" s="1"/>
  <c r="I33" i="23"/>
  <c r="N33" i="23" s="1"/>
  <c r="I31" i="23"/>
  <c r="N31" i="23" s="1"/>
  <c r="I29" i="23"/>
  <c r="N29" i="23" s="1"/>
  <c r="I27" i="23"/>
  <c r="N27" i="23" s="1"/>
  <c r="I24" i="23"/>
  <c r="N24" i="23" s="1"/>
  <c r="I22" i="23"/>
  <c r="N22" i="23" s="1"/>
  <c r="I15" i="23"/>
  <c r="N15" i="23" s="1"/>
  <c r="A1" i="10"/>
  <c r="A3" i="10"/>
  <c r="E16" i="25"/>
  <c r="J30" i="24"/>
  <c r="E30" i="24"/>
  <c r="J29" i="24"/>
  <c r="E29" i="24"/>
  <c r="E27" i="24"/>
  <c r="J26" i="24"/>
  <c r="E26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8" i="24"/>
  <c r="C31" i="24" s="1"/>
  <c r="E13" i="24"/>
  <c r="I14" i="23"/>
  <c r="I26" i="23"/>
  <c r="N26" i="23" s="1"/>
  <c r="D28" i="24"/>
  <c r="I41" i="23"/>
  <c r="C5" i="3"/>
  <c r="A6" i="5"/>
  <c r="A4" i="1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29" i="3"/>
  <c r="AG28" i="3"/>
  <c r="AG27" i="3"/>
  <c r="AG26" i="3"/>
  <c r="AG25" i="3"/>
  <c r="AG24" i="3"/>
  <c r="AG23" i="3"/>
  <c r="AG22" i="3"/>
  <c r="AG21" i="3"/>
  <c r="AG20" i="3"/>
  <c r="AG19" i="3"/>
  <c r="AG18" i="3"/>
  <c r="AG17" i="3"/>
  <c r="AG16" i="3"/>
  <c r="C2" i="3"/>
  <c r="F31" i="25"/>
  <c r="F21" i="25"/>
  <c r="E21" i="25"/>
  <c r="F20" i="25"/>
  <c r="E20" i="25"/>
  <c r="D20" i="25"/>
  <c r="E19" i="25"/>
  <c r="D19" i="25"/>
  <c r="E18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E7" i="25"/>
  <c r="D7" i="25"/>
  <c r="D5" i="25"/>
  <c r="F30" i="25"/>
  <c r="E29" i="25"/>
  <c r="E31" i="25" s="1"/>
  <c r="F29" i="25"/>
  <c r="F27" i="25"/>
  <c r="F26" i="25"/>
  <c r="F25" i="25"/>
  <c r="H21" i="15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12" i="21"/>
  <c r="F11" i="15"/>
  <c r="D11" i="15"/>
  <c r="E13" i="15"/>
  <c r="E28" i="24" l="1"/>
  <c r="N14" i="23"/>
  <c r="I37" i="23"/>
  <c r="N37" i="23" s="1"/>
  <c r="E13" i="25" s="1"/>
  <c r="G13" i="25" s="1"/>
  <c r="J28" i="24"/>
  <c r="D31" i="24"/>
  <c r="D13" i="25"/>
  <c r="F28" i="25"/>
  <c r="E15" i="15"/>
  <c r="E20" i="15"/>
  <c r="E21" i="15"/>
  <c r="G11" i="15"/>
  <c r="H10" i="25" l="1"/>
  <c r="I40" i="23"/>
  <c r="N40" i="23"/>
  <c r="E15" i="25" s="1"/>
  <c r="F12" i="15"/>
  <c r="F12" i="25"/>
  <c r="D28" i="25"/>
  <c r="D31" i="25" s="1"/>
  <c r="D32" i="25" s="1"/>
  <c r="J31" i="24"/>
  <c r="E31" i="24"/>
  <c r="E9" i="15"/>
  <c r="D9" i="15"/>
  <c r="P7" i="12"/>
  <c r="F21" i="15"/>
  <c r="F20" i="15"/>
  <c r="D20" i="15"/>
  <c r="D10" i="15"/>
  <c r="E17" i="15" l="1"/>
  <c r="E8" i="15"/>
  <c r="D8" i="15"/>
  <c r="E7" i="15"/>
  <c r="D7" i="15"/>
  <c r="D6" i="15"/>
  <c r="D15" i="15"/>
  <c r="D14" i="15"/>
  <c r="G13" i="15" l="1"/>
  <c r="A6" i="24"/>
  <c r="A4" i="9"/>
  <c r="A1" i="24"/>
  <c r="A6" i="23"/>
  <c r="A1" i="23"/>
  <c r="P4" i="12"/>
  <c r="B7" i="11"/>
  <c r="F15" i="25" l="1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2" i="8"/>
  <c r="L22" i="8" s="1"/>
  <c r="K23" i="8"/>
  <c r="M23" i="8" s="1"/>
  <c r="N23" i="8" s="1"/>
  <c r="K25" i="8"/>
  <c r="M25" i="8" s="1"/>
  <c r="N25" i="8" s="1"/>
  <c r="K26" i="8"/>
  <c r="L26" i="8" s="1"/>
  <c r="K28" i="8"/>
  <c r="M28" i="8" s="1"/>
  <c r="N28" i="8" s="1"/>
  <c r="K29" i="8"/>
  <c r="M29" i="8" s="1"/>
  <c r="N29" i="8" s="1"/>
  <c r="K31" i="8"/>
  <c r="M31" i="8" s="1"/>
  <c r="N31" i="8" s="1"/>
  <c r="K32" i="8"/>
  <c r="M32" i="8" s="1"/>
  <c r="N32" i="8" s="1"/>
  <c r="K34" i="8"/>
  <c r="L34" i="8" s="1"/>
  <c r="K35" i="8"/>
  <c r="M35" i="8" s="1"/>
  <c r="N35" i="8" s="1"/>
  <c r="K37" i="8"/>
  <c r="M37" i="8" s="1"/>
  <c r="N37" i="8" s="1"/>
  <c r="K38" i="8"/>
  <c r="L38" i="8" s="1"/>
  <c r="K39" i="8"/>
  <c r="L39" i="8" s="1"/>
  <c r="G22" i="8"/>
  <c r="G23" i="8"/>
  <c r="G25" i="8"/>
  <c r="G26" i="8"/>
  <c r="G28" i="8"/>
  <c r="G29" i="8"/>
  <c r="G31" i="8"/>
  <c r="G32" i="8"/>
  <c r="G34" i="8"/>
  <c r="G35" i="8"/>
  <c r="G37" i="8"/>
  <c r="G38" i="8"/>
  <c r="G39" i="8"/>
  <c r="J36" i="8"/>
  <c r="I36" i="8"/>
  <c r="K36" i="8" s="1"/>
  <c r="L36" i="8" s="1"/>
  <c r="H36" i="8"/>
  <c r="M36" i="8" s="1"/>
  <c r="N36" i="8" s="1"/>
  <c r="F36" i="8"/>
  <c r="E36" i="8"/>
  <c r="D36" i="8"/>
  <c r="C36" i="8"/>
  <c r="G36" i="8" s="1"/>
  <c r="J33" i="8"/>
  <c r="I33" i="8"/>
  <c r="K33" i="8" s="1"/>
  <c r="L33" i="8" s="1"/>
  <c r="H33" i="8"/>
  <c r="F33" i="8"/>
  <c r="E33" i="8"/>
  <c r="D33" i="8"/>
  <c r="C33" i="8"/>
  <c r="G33" i="8" s="1"/>
  <c r="J30" i="8"/>
  <c r="I30" i="8"/>
  <c r="K30" i="8" s="1"/>
  <c r="H30" i="8"/>
  <c r="F30" i="8"/>
  <c r="E30" i="8"/>
  <c r="D30" i="8"/>
  <c r="C30" i="8"/>
  <c r="G30" i="8" s="1"/>
  <c r="J27" i="8"/>
  <c r="I27" i="8"/>
  <c r="K27" i="8" s="1"/>
  <c r="L27" i="8" s="1"/>
  <c r="H27" i="8"/>
  <c r="M27" i="8" s="1"/>
  <c r="N27" i="8" s="1"/>
  <c r="F27" i="8"/>
  <c r="E27" i="8"/>
  <c r="D27" i="8"/>
  <c r="C27" i="8"/>
  <c r="G27" i="8" s="1"/>
  <c r="J24" i="8"/>
  <c r="I24" i="8"/>
  <c r="K24" i="8" s="1"/>
  <c r="L24" i="8" s="1"/>
  <c r="H24" i="8"/>
  <c r="M24" i="8" s="1"/>
  <c r="N24" i="8" s="1"/>
  <c r="F24" i="8"/>
  <c r="E24" i="8"/>
  <c r="D24" i="8"/>
  <c r="C24" i="8"/>
  <c r="G24" i="8" s="1"/>
  <c r="L23" i="8"/>
  <c r="L25" i="8"/>
  <c r="L29" i="8"/>
  <c r="L31" i="8"/>
  <c r="L32" i="8"/>
  <c r="L35" i="8"/>
  <c r="L37" i="8"/>
  <c r="D21" i="8"/>
  <c r="D40" i="8" s="1"/>
  <c r="E21" i="8"/>
  <c r="E40" i="8" s="1"/>
  <c r="F21" i="8"/>
  <c r="F40" i="8" s="1"/>
  <c r="H21" i="8"/>
  <c r="I21" i="8"/>
  <c r="K21" i="8" s="1"/>
  <c r="L21" i="8" s="1"/>
  <c r="J21" i="8"/>
  <c r="J40" i="8" s="1"/>
  <c r="C21" i="8"/>
  <c r="C40" i="8" s="1"/>
  <c r="L8" i="16"/>
  <c r="K8" i="16"/>
  <c r="J8" i="16"/>
  <c r="I8" i="16"/>
  <c r="G8" i="16"/>
  <c r="L30" i="8" l="1"/>
  <c r="M30" i="8"/>
  <c r="N30" i="8" s="1"/>
  <c r="G40" i="8"/>
  <c r="M21" i="8"/>
  <c r="N21" i="8" s="1"/>
  <c r="M33" i="8"/>
  <c r="N33" i="8" s="1"/>
  <c r="M39" i="8"/>
  <c r="N39" i="8" s="1"/>
  <c r="M26" i="8"/>
  <c r="N26" i="8" s="1"/>
  <c r="G21" i="8"/>
  <c r="I40" i="8"/>
  <c r="K40" i="8" s="1"/>
  <c r="L40" i="8" s="1"/>
  <c r="H40" i="8"/>
  <c r="M40" i="8" s="1"/>
  <c r="N40" i="8" s="1"/>
  <c r="M34" i="8"/>
  <c r="N34" i="8" s="1"/>
  <c r="M22" i="8"/>
  <c r="N22" i="8" s="1"/>
  <c r="L28" i="8"/>
  <c r="M38" i="8"/>
  <c r="N38" i="8" s="1"/>
  <c r="D23" i="15"/>
  <c r="H8" i="16" s="1"/>
  <c r="L38" i="16" l="1"/>
  <c r="J38" i="16"/>
  <c r="I38" i="16"/>
  <c r="H38" i="16"/>
  <c r="G38" i="16"/>
  <c r="L34" i="16"/>
  <c r="J34" i="16"/>
  <c r="I34" i="16"/>
  <c r="H34" i="16"/>
  <c r="G34" i="16"/>
  <c r="L13" i="16"/>
  <c r="J13" i="16"/>
  <c r="I13" i="16"/>
  <c r="H13" i="16"/>
  <c r="G13" i="16"/>
  <c r="G46" i="16" s="1"/>
  <c r="G47" i="16" s="1"/>
  <c r="L9" i="16"/>
  <c r="L46" i="16" s="1"/>
  <c r="L47" i="16" s="1"/>
  <c r="J9" i="16"/>
  <c r="J46" i="16" s="1"/>
  <c r="J47" i="16" s="1"/>
  <c r="I9" i="16"/>
  <c r="I46" i="16" s="1"/>
  <c r="I47" i="16" s="1"/>
  <c r="H9" i="16"/>
  <c r="H46" i="16" s="1"/>
  <c r="H47" i="16" s="1"/>
  <c r="G9" i="16"/>
  <c r="G7" i="16"/>
  <c r="G43" i="16" l="1"/>
  <c r="A16" i="11" l="1"/>
  <c r="F10" i="21" l="1"/>
  <c r="E10" i="21"/>
  <c r="D10" i="21"/>
  <c r="C10" i="21"/>
  <c r="B10" i="21"/>
  <c r="D21" i="25" l="1"/>
  <c r="D21" i="15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</calcChain>
</file>

<file path=xl/sharedStrings.xml><?xml version="1.0" encoding="utf-8"?>
<sst xmlns="http://schemas.openxmlformats.org/spreadsheetml/2006/main" count="1050" uniqueCount="798">
  <si>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</si>
  <si>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</si>
  <si>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</si>
  <si>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</si>
  <si>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</si>
  <si>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</si>
  <si>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</si>
  <si>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</si>
  <si>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</si>
  <si>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</si>
  <si>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</si>
  <si>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</si>
  <si>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本  年  度
法  定  預  算  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</si>
  <si>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</si>
  <si>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</si>
  <si>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</si>
  <si>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</si>
  <si>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</si>
  <si>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</si>
  <si>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</si>
  <si>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</si>
  <si>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</si>
  <si>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</si>
  <si>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</si>
  <si>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國民小學教育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</si>
  <si>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</si>
  <si>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</si>
  <si>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</si>
  <si>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</si>
  <si>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</si>
  <si>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</si>
  <si>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</si>
  <si>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</si>
  <si>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</si>
  <si>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</si>
  <si>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</si>
  <si>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</si>
  <si>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</si>
  <si>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</si>
  <si>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</si>
  <si>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</si>
  <si>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</si>
  <si>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</si>
  <si>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</si>
  <si>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</si>
  <si>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</si>
  <si>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</si>
  <si>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</si>
  <si>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</si>
  <si>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</si>
  <si>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</si>
  <si>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</si>
  <si>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</si>
  <si>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9" type="noConversion"/>
  </si>
  <si>
    <t>截至本月增加</t>
    <phoneticPr fontId="9" type="noConversion"/>
  </si>
  <si>
    <t>截至本月減少</t>
    <phoneticPr fontId="9" type="noConversion"/>
  </si>
  <si>
    <t>期  末  餘  額</t>
    <phoneticPr fontId="9" type="noConversion"/>
  </si>
  <si>
    <t>購建固定資產執行情形明細表</t>
  </si>
  <si>
    <t>執　　　行　　　情　　　形</t>
  </si>
  <si>
    <t>本　年　度　可　用　預　算　數</t>
  </si>
  <si>
    <t>累　計
預　算
分配數</t>
  </si>
  <si>
    <t>實　際　執　行　數</t>
  </si>
  <si>
    <t>差異或落
後 原 因</t>
  </si>
  <si>
    <t>改進
措施</t>
  </si>
  <si>
    <t>科 目 名 稱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</si>
  <si>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</si>
  <si>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</si>
  <si>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</si>
  <si>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</si>
  <si>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</si>
  <si>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</si>
  <si>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</si>
  <si>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</si>
  <si>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</si>
  <si>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</si>
  <si>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</si>
  <si>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</si>
  <si>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</si>
  <si>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</si>
  <si>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</si>
  <si>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</si>
  <si>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</si>
  <si>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</si>
  <si>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</si>
  <si>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</si>
  <si>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彰化縣政府財政處對帳通知單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</si>
  <si>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</si>
  <si>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</si>
  <si>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</si>
  <si>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</si>
  <si>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</si>
  <si>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</si>
  <si>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</si>
  <si>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</si>
  <si>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</si>
  <si>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</si>
  <si>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</si>
  <si>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</si>
  <si>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</si>
  <si>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</si>
  <si>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</si>
  <si>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</si>
  <si>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</si>
  <si>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</si>
  <si>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</si>
  <si>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</si>
  <si>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</si>
  <si>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</si>
  <si>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</si>
  <si>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</si>
  <si>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</si>
  <si>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</si>
  <si>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</si>
  <si>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</si>
  <si>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</si>
  <si>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</si>
  <si>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</si>
  <si>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</si>
  <si>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</si>
  <si>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</si>
  <si>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</si>
  <si>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</si>
  <si>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9" type="noConversion"/>
  </si>
  <si>
    <t>中華民國</t>
    <phoneticPr fontId="9" type="noConversion"/>
  </si>
  <si>
    <t>年</t>
    <phoneticPr fontId="9" type="noConversion"/>
  </si>
  <si>
    <t>月</t>
    <phoneticPr fontId="9" type="noConversion"/>
  </si>
  <si>
    <t>主辦會計人員</t>
    <phoneticPr fontId="9" type="noConversion"/>
  </si>
  <si>
    <t>基金主持人</t>
    <phoneticPr fontId="9" type="noConversion"/>
  </si>
  <si>
    <t>份</t>
    <phoneticPr fontId="9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</si>
  <si>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</si>
  <si>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</si>
  <si>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</si>
  <si>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</si>
  <si>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</si>
  <si>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</si>
  <si>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</si>
  <si>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</si>
  <si>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</si>
  <si>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</si>
  <si>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</si>
  <si>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</si>
  <si>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</si>
  <si>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</si>
  <si>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</si>
  <si>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</si>
  <si>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</si>
  <si>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</si>
  <si>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</si>
  <si>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</si>
  <si>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9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</si>
  <si>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9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</si>
  <si>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9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</si>
  <si>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9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</si>
  <si>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9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</si>
  <si>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</si>
  <si>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</si>
  <si>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%</t>
    <phoneticPr fontId="9" type="noConversion"/>
  </si>
  <si>
    <t>(二)加:付款憑單學校已入帳支付科未付款</t>
    <phoneticPr fontId="24" type="noConversion"/>
  </si>
  <si>
    <t>國民教育-本月</t>
    <phoneticPr fontId="9" type="noConversion"/>
  </si>
  <si>
    <t>國民教育-累計</t>
    <phoneticPr fontId="9" type="noConversion"/>
  </si>
  <si>
    <t>建築及設備-本月</t>
    <phoneticPr fontId="9" type="noConversion"/>
  </si>
  <si>
    <t>建築及設備-累計</t>
    <phoneticPr fontId="9" type="noConversion"/>
  </si>
  <si>
    <t>基金用途
本月</t>
    <phoneticPr fontId="9" type="noConversion"/>
  </si>
  <si>
    <t>基金來源
累計</t>
    <phoneticPr fontId="9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</si>
  <si>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</si>
  <si>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</si>
  <si>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9" type="noConversion"/>
  </si>
  <si>
    <t>基金餘額</t>
    <phoneticPr fontId="9" type="noConversion"/>
  </si>
  <si>
    <t>資產-縣庫存款</t>
    <phoneticPr fontId="9" type="noConversion"/>
  </si>
  <si>
    <t>資產-專戶存款</t>
    <phoneticPr fontId="9" type="noConversion"/>
  </si>
  <si>
    <t>負債</t>
    <phoneticPr fontId="9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</si>
  <si>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</si>
  <si>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</si>
  <si>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</si>
  <si>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</si>
  <si>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</si>
  <si>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</si>
  <si>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</si>
  <si>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</si>
  <si>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</si>
  <si>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</si>
  <si>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</si>
  <si>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</si>
  <si>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</si>
  <si>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9" type="noConversion"/>
  </si>
  <si>
    <t>應付費用
本月轉正</t>
    <phoneticPr fontId="9" type="noConversion"/>
  </si>
  <si>
    <t>差額解釋表
差異</t>
    <phoneticPr fontId="9" type="noConversion"/>
  </si>
  <si>
    <t>零用金差異</t>
    <phoneticPr fontId="9" type="noConversion"/>
  </si>
  <si>
    <t>(六)縣庫結存</t>
    <phoneticPr fontId="24" type="noConversion"/>
  </si>
  <si>
    <t>其他收入</t>
  </si>
  <si>
    <t>年初結存</t>
    <phoneticPr fontId="9" type="noConversion"/>
  </si>
  <si>
    <t>零用金</t>
    <phoneticPr fontId="9" type="noConversion"/>
  </si>
  <si>
    <t>差額解釋表</t>
    <phoneticPr fontId="9" type="noConversion"/>
  </si>
  <si>
    <t>預付費用</t>
    <phoneticPr fontId="9" type="noConversion"/>
  </si>
  <si>
    <t>收入退還</t>
    <phoneticPr fontId="9" type="noConversion"/>
  </si>
  <si>
    <t>本月增加</t>
    <phoneticPr fontId="9" type="noConversion"/>
  </si>
  <si>
    <t>本月減少</t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</si>
  <si>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</si>
  <si>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9" type="noConversion"/>
  </si>
  <si>
    <t>差異未超過10%</t>
  </si>
  <si>
    <t>差異超過10%，原因及改進意見：</t>
  </si>
  <si>
    <t>銀行存款-縣庫存款</t>
    <phoneticPr fontId="9" type="noConversion"/>
  </si>
  <si>
    <t>比較增減</t>
    <phoneticPr fontId="9" type="noConversion"/>
  </si>
  <si>
    <t>金額</t>
    <phoneticPr fontId="9" type="noConversion"/>
  </si>
  <si>
    <t>％</t>
    <phoneticPr fontId="9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</si>
  <si>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</si>
  <si>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</si>
  <si>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</si>
  <si>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</si>
  <si>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</si>
  <si>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9" type="noConversion"/>
  </si>
  <si>
    <t>本月
折舊</t>
    <phoneticPr fontId="9" type="noConversion"/>
  </si>
  <si>
    <t>資產</t>
    <phoneticPr fontId="9" type="noConversion"/>
  </si>
  <si>
    <t>非理財目的之長期投資</t>
    <phoneticPr fontId="9" type="noConversion"/>
  </si>
  <si>
    <t>土地</t>
    <phoneticPr fontId="9" type="noConversion"/>
  </si>
  <si>
    <t>土地改良物</t>
    <phoneticPr fontId="9" type="noConversion"/>
  </si>
  <si>
    <t>房屋及建築</t>
    <phoneticPr fontId="9" type="noConversion"/>
  </si>
  <si>
    <t>機械及設備</t>
    <phoneticPr fontId="9" type="noConversion"/>
  </si>
  <si>
    <t>交通及運輸設備</t>
    <phoneticPr fontId="9" type="noConversion"/>
  </si>
  <si>
    <t>雜項設備</t>
    <phoneticPr fontId="9" type="noConversion"/>
  </si>
  <si>
    <t>購建中固定資產</t>
    <phoneticPr fontId="9" type="noConversion"/>
  </si>
  <si>
    <t>項       目</t>
    <phoneticPr fontId="9" type="noConversion"/>
  </si>
  <si>
    <t>本月
累計折舊</t>
    <phoneticPr fontId="9" type="noConversion"/>
  </si>
  <si>
    <t>本月餘額</t>
    <phoneticPr fontId="9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</si>
  <si>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9" type="noConversion"/>
  </si>
  <si>
    <t>雜項設備</t>
    <phoneticPr fontId="9" type="noConversion"/>
  </si>
  <si>
    <t>一、</t>
    <phoneticPr fontId="9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</si>
  <si>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</si>
  <si>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V</t>
    <phoneticPr fontId="9" type="noConversion"/>
  </si>
  <si>
    <t>利息收入：</t>
    <phoneticPr fontId="9" type="noConversion"/>
  </si>
  <si>
    <t>公庫撥款收入：</t>
    <phoneticPr fontId="9" type="noConversion"/>
  </si>
  <si>
    <t>雜項收入：</t>
    <phoneticPr fontId="9" type="noConversion"/>
  </si>
  <si>
    <t>二、</t>
    <phoneticPr fontId="9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</si>
  <si>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</si>
  <si>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(一)</t>
    <phoneticPr fontId="9" type="noConversion"/>
  </si>
  <si>
    <t>國民教育計畫：</t>
    <phoneticPr fontId="9" type="noConversion"/>
  </si>
  <si>
    <t>1.國民小學教育：</t>
    <phoneticPr fontId="9" type="noConversion"/>
  </si>
  <si>
    <t>差異未超過10%</t>
    <phoneticPr fontId="9" type="noConversion"/>
  </si>
  <si>
    <t>差異超過10%，原因及改進意見：</t>
    <phoneticPr fontId="9" type="noConversion"/>
  </si>
  <si>
    <t>(二)</t>
    <phoneticPr fontId="9" type="noConversion"/>
  </si>
  <si>
    <t>建築及設備計畫：</t>
    <phoneticPr fontId="9" type="noConversion"/>
  </si>
  <si>
    <t>專戶存款差額解釋表</t>
    <phoneticPr fontId="24" type="noConversion"/>
  </si>
  <si>
    <t>中華民國   年  月  日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</si>
  <si>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</si>
  <si>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</si>
  <si>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</si>
  <si>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</si>
  <si>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</si>
  <si>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</si>
  <si>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</si>
  <si>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</si>
  <si>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</si>
  <si>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</si>
  <si>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</si>
  <si>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</si>
  <si>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</si>
  <si>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</si>
  <si>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</si>
  <si>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</si>
  <si>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</si>
  <si>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</si>
  <si>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</si>
  <si>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</si>
  <si>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</si>
  <si>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</si>
  <si>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</si>
  <si>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</si>
  <si>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</si>
  <si>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</si>
  <si>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</si>
  <si>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</si>
  <si>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</si>
  <si>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</si>
  <si>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</si>
  <si>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4" type="noConversion"/>
  </si>
  <si>
    <t xml:space="preserve">主辦會計人員 　　  </t>
    <phoneticPr fontId="24" type="noConversion"/>
  </si>
  <si>
    <t>機關首長</t>
  </si>
  <si>
    <t>長期投資、固定資產、遞耗資產及無形資產變動表</t>
    <phoneticPr fontId="9" type="noConversion"/>
  </si>
  <si>
    <t>電腦軟體</t>
    <phoneticPr fontId="9" type="noConversion"/>
  </si>
  <si>
    <t>取得成本</t>
    <phoneticPr fontId="9" type="noConversion"/>
  </si>
  <si>
    <t>以前年度累計折舊(耗)/長期投資評價</t>
    <phoneticPr fontId="9" type="noConversion"/>
  </si>
  <si>
    <t>增加數</t>
    <phoneticPr fontId="9" type="noConversion"/>
  </si>
  <si>
    <t>減少數</t>
    <phoneticPr fontId="9" type="noConversion"/>
  </si>
  <si>
    <t>本年度成本變動</t>
    <phoneticPr fontId="9" type="noConversion"/>
  </si>
  <si>
    <t>本年度累計折舊(耗)/長期投 資評價變動數</t>
    <phoneticPr fontId="9" type="noConversion"/>
  </si>
  <si>
    <t>期末帳面金額</t>
    <phoneticPr fontId="9" type="noConversion"/>
  </si>
  <si>
    <t>彰化縣地方教育發展基金－彰化縣秀水鄉馬興國民小學</t>
    <phoneticPr fontId="9" type="noConversion"/>
  </si>
  <si>
    <t>機關代號：30175</t>
    <phoneticPr fontId="9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</si>
  <si>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</si>
  <si>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</si>
  <si>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</si>
  <si>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</si>
  <si>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</si>
  <si>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4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</si>
  <si>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4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</si>
  <si>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4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</si>
  <si>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4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</si>
  <si>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4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</si>
  <si>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4" type="noConversion"/>
  </si>
  <si>
    <t>日</t>
    <phoneticPr fontId="9" type="noConversion"/>
  </si>
  <si>
    <t>彰化縣秀水鄉馬興國民小學</t>
    <phoneticPr fontId="24" type="noConversion"/>
  </si>
  <si>
    <t>(三)</t>
    <phoneticPr fontId="9" type="noConversion"/>
  </si>
  <si>
    <t>(四)</t>
    <phoneticPr fontId="9" type="noConversion"/>
  </si>
  <si>
    <t>(五)</t>
    <phoneticPr fontId="9" type="noConversion"/>
  </si>
  <si>
    <t>1.其他設備：</t>
    <phoneticPr fontId="9" type="noConversion"/>
  </si>
  <si>
    <t>資源回收收入超過預期。</t>
  </si>
  <si>
    <t>零用金</t>
    <phoneticPr fontId="9" type="noConversion"/>
  </si>
  <si>
    <t>保管金-帳面</t>
    <phoneticPr fontId="9" type="noConversion"/>
  </si>
  <si>
    <t>保管金-公庫</t>
    <phoneticPr fontId="9" type="noConversion"/>
  </si>
  <si>
    <t>午餐專戶</t>
    <phoneticPr fontId="9" type="noConversion"/>
  </si>
  <si>
    <t>仁愛-公庫</t>
    <phoneticPr fontId="9" type="noConversion"/>
  </si>
  <si>
    <t>教育儲金</t>
    <phoneticPr fontId="9" type="noConversion"/>
  </si>
  <si>
    <t>仁愛-帳面</t>
    <phoneticPr fontId="9" type="noConversion"/>
  </si>
  <si>
    <t>台銀</t>
    <phoneticPr fontId="9" type="noConversion"/>
  </si>
  <si>
    <t>合計-帳面</t>
    <phoneticPr fontId="9" type="noConversion"/>
  </si>
  <si>
    <t>合計-公庫</t>
    <phoneticPr fontId="9" type="noConversion"/>
  </si>
  <si>
    <t>帳戶名稱：彰化縣秀水鄉馬興國民小學</t>
    <phoneticPr fontId="24" type="noConversion"/>
  </si>
  <si>
    <r>
      <rPr>
        <sz val="10"/>
        <color indexed="8"/>
        <rFont val="細明體"/>
        <family val="3"/>
        <charset val="136"/>
      </rPr>
      <t>學校代號</t>
    </r>
    <r>
      <rPr>
        <sz val="10"/>
        <color indexed="8"/>
        <rFont val="ARIAL"/>
        <family val="2"/>
      </rPr>
      <t>175</t>
    </r>
    <phoneticPr fontId="24" type="noConversion"/>
  </si>
  <si>
    <t>科目</t>
    <phoneticPr fontId="9" type="noConversion"/>
  </si>
  <si>
    <t>本月數</t>
    <phoneticPr fontId="9" type="noConversion"/>
  </si>
  <si>
    <t>累計數</t>
    <phoneticPr fontId="9" type="noConversion"/>
  </si>
  <si>
    <t>收入支出表</t>
    <phoneticPr fontId="9" type="noConversion"/>
  </si>
  <si>
    <t>預算執行與會計收支對照表</t>
    <phoneticPr fontId="9" type="noConversion"/>
  </si>
  <si>
    <t>預算項目</t>
    <phoneticPr fontId="9" type="noConversion"/>
  </si>
  <si>
    <t>預算執行數</t>
    <phoneticPr fontId="9" type="noConversion"/>
  </si>
  <si>
    <t>調整數</t>
    <phoneticPr fontId="9" type="noConversion"/>
  </si>
  <si>
    <t>會計收支</t>
    <phoneticPr fontId="9" type="noConversion"/>
  </si>
  <si>
    <t>會計科目</t>
    <phoneticPr fontId="9" type="noConversion"/>
  </si>
  <si>
    <t>以前年度保留數</t>
    <phoneticPr fontId="9" type="noConversion"/>
  </si>
  <si>
    <t>本年度法定預算數</t>
    <phoneticPr fontId="9" type="noConversion"/>
  </si>
  <si>
    <t>本年度奉准先行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</si>
  <si>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</si>
  <si>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9" type="noConversion"/>
  </si>
  <si>
    <t>淨資產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</si>
  <si>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</si>
  <si>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用人費用</t>
    <phoneticPr fontId="9" type="noConversion"/>
  </si>
  <si>
    <t>本年度折舊</t>
    <phoneticPr fontId="9" type="noConversion"/>
  </si>
  <si>
    <t>信託代理與保證資產：0</t>
    <phoneticPr fontId="9" type="noConversion"/>
  </si>
  <si>
    <t>信託代理與保證負債：0</t>
    <phoneticPr fontId="9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</si>
  <si>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</si>
  <si>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</si>
  <si>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</si>
  <si>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</si>
  <si>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</si>
  <si>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</si>
  <si>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</si>
  <si>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</si>
  <si>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報廢資產累計折舊</t>
    <phoneticPr fontId="9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</si>
  <si>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9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</si>
  <si>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9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</si>
  <si>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9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</si>
  <si>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9" type="noConversion"/>
  </si>
  <si>
    <t>應付費用
平衡表</t>
    <phoneticPr fontId="9" type="noConversion"/>
  </si>
  <si>
    <t>應付費用
本月轉正</t>
    <phoneticPr fontId="9" type="noConversion"/>
  </si>
  <si>
    <t>零用金差異</t>
    <phoneticPr fontId="9" type="noConversion"/>
  </si>
  <si>
    <t>差額解釋表
差異</t>
    <phoneticPr fontId="9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</si>
  <si>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9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</si>
  <si>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</si>
  <si>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資產-縣庫存款</t>
    <phoneticPr fontId="9" type="noConversion"/>
  </si>
  <si>
    <t>基金餘額</t>
    <phoneticPr fontId="9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</si>
  <si>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</si>
  <si>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資產-專戶存款</t>
    <phoneticPr fontId="9" type="noConversion"/>
  </si>
  <si>
    <t>負債</t>
    <phoneticPr fontId="9" type="noConversion"/>
  </si>
  <si>
    <t>平衡表-借貸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</si>
  <si>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</si>
  <si>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</si>
  <si>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</si>
  <si>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</si>
  <si>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</si>
  <si>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9" type="noConversion"/>
  </si>
  <si>
    <t>淨資產</t>
    <phoneticPr fontId="9" type="noConversion"/>
  </si>
  <si>
    <t>國民教育-本月</t>
    <phoneticPr fontId="9" type="noConversion"/>
  </si>
  <si>
    <t>國民教育-累計</t>
    <phoneticPr fontId="9" type="noConversion"/>
  </si>
  <si>
    <t>建築及設備-本月</t>
    <phoneticPr fontId="9" type="noConversion"/>
  </si>
  <si>
    <t>建築及設備-累計</t>
    <phoneticPr fontId="9" type="noConversion"/>
  </si>
  <si>
    <t>用人費用</t>
    <phoneticPr fontId="9" type="noConversion"/>
  </si>
  <si>
    <t>本年度折舊</t>
    <phoneticPr fontId="9" type="noConversion"/>
  </si>
  <si>
    <t>報廢資產累計折舊</t>
    <phoneticPr fontId="9" type="noConversion"/>
  </si>
  <si>
    <t>月報</t>
    <phoneticPr fontId="9" type="noConversion"/>
  </si>
  <si>
    <t>差額解釋表</t>
    <phoneticPr fontId="9" type="noConversion"/>
  </si>
  <si>
    <t>活存</t>
    <phoneticPr fontId="9" type="noConversion"/>
  </si>
  <si>
    <t>定存</t>
    <phoneticPr fontId="9" type="noConversion"/>
  </si>
  <si>
    <t>合計</t>
    <phoneticPr fontId="9" type="noConversion"/>
  </si>
  <si>
    <t>零用金</t>
    <phoneticPr fontId="9" type="noConversion"/>
  </si>
  <si>
    <t>教育儲金</t>
    <phoneticPr fontId="9" type="noConversion"/>
  </si>
  <si>
    <t>午餐專戶</t>
    <phoneticPr fontId="9" type="noConversion"/>
  </si>
  <si>
    <t>保管金-帳面</t>
    <phoneticPr fontId="9" type="noConversion"/>
  </si>
  <si>
    <t>仁愛-帳面</t>
    <phoneticPr fontId="9" type="noConversion"/>
  </si>
  <si>
    <t>台銀</t>
    <phoneticPr fontId="9" type="noConversion"/>
  </si>
  <si>
    <t>合計</t>
    <phoneticPr fontId="9" type="noConversion"/>
  </si>
  <si>
    <t>項目</t>
    <phoneticPr fontId="9" type="noConversion"/>
  </si>
  <si>
    <t>名稱</t>
    <phoneticPr fontId="9" type="noConversion"/>
  </si>
  <si>
    <t>實際數</t>
    <phoneticPr fontId="9" type="noConversion"/>
  </si>
  <si>
    <t>4</t>
    <phoneticPr fontId="9" type="noConversion"/>
  </si>
  <si>
    <t>43</t>
    <phoneticPr fontId="9" type="noConversion"/>
  </si>
  <si>
    <t>431</t>
    <phoneticPr fontId="9" type="noConversion"/>
  </si>
  <si>
    <t>45</t>
    <phoneticPr fontId="9" type="noConversion"/>
  </si>
  <si>
    <t>財產處分收入</t>
    <phoneticPr fontId="9" type="noConversion"/>
  </si>
  <si>
    <t>454</t>
    <phoneticPr fontId="9" type="noConversion"/>
  </si>
  <si>
    <t>政府撥入收入</t>
    <phoneticPr fontId="9" type="noConversion"/>
  </si>
  <si>
    <t>46</t>
    <phoneticPr fontId="9" type="noConversion"/>
  </si>
  <si>
    <t>462</t>
    <phoneticPr fontId="9" type="noConversion"/>
  </si>
  <si>
    <t>4Y</t>
    <phoneticPr fontId="9" type="noConversion"/>
  </si>
  <si>
    <t>雜項收入</t>
    <phoneticPr fontId="9" type="noConversion"/>
  </si>
  <si>
    <t>4YY</t>
    <phoneticPr fontId="9" type="noConversion"/>
  </si>
  <si>
    <t>5</t>
    <phoneticPr fontId="9" type="noConversion"/>
  </si>
  <si>
    <t>53</t>
    <phoneticPr fontId="9" type="noConversion"/>
  </si>
  <si>
    <t>532</t>
    <phoneticPr fontId="9" type="noConversion"/>
  </si>
  <si>
    <t>6</t>
    <phoneticPr fontId="9" type="noConversion"/>
  </si>
  <si>
    <t>71</t>
    <phoneticPr fontId="9" type="noConversion"/>
  </si>
  <si>
    <t>72</t>
    <phoneticPr fontId="9" type="noConversion"/>
  </si>
  <si>
    <t>收入</t>
    <phoneticPr fontId="9" type="noConversion"/>
  </si>
  <si>
    <t>勞務收入</t>
    <phoneticPr fontId="9" type="noConversion"/>
  </si>
  <si>
    <t>服務收入</t>
    <phoneticPr fontId="9" type="noConversion"/>
  </si>
  <si>
    <t>廢舊物品售價收入</t>
    <phoneticPr fontId="9" type="noConversion"/>
  </si>
  <si>
    <t>財產交易利益</t>
    <phoneticPr fontId="9" type="noConversion"/>
  </si>
  <si>
    <t>其他財產收入</t>
    <phoneticPr fontId="9" type="noConversion"/>
  </si>
  <si>
    <t>政府撥入收入</t>
    <phoneticPr fontId="9" type="noConversion"/>
  </si>
  <si>
    <t>公庫撥款收入</t>
    <phoneticPr fontId="9" type="noConversion"/>
  </si>
  <si>
    <t>其他收入</t>
    <phoneticPr fontId="9" type="noConversion"/>
  </si>
  <si>
    <t>雜項收入</t>
    <phoneticPr fontId="9" type="noConversion"/>
  </si>
  <si>
    <t>人事支出</t>
    <phoneticPr fontId="9" type="noConversion"/>
  </si>
  <si>
    <t>業務支出</t>
    <phoneticPr fontId="9" type="noConversion"/>
  </si>
  <si>
    <t>財產損失</t>
    <phoneticPr fontId="9" type="noConversion"/>
  </si>
  <si>
    <t>財產交易損失</t>
    <phoneticPr fontId="9" type="noConversion"/>
  </si>
  <si>
    <t>折舊、折耗及攤銷</t>
    <phoneticPr fontId="9" type="noConversion"/>
  </si>
  <si>
    <t>固定資產折舊</t>
    <phoneticPr fontId="9" type="noConversion"/>
  </si>
  <si>
    <t>其他支出</t>
    <phoneticPr fontId="9" type="noConversion"/>
  </si>
  <si>
    <t>本期賸餘（短絀）</t>
    <phoneticPr fontId="9" type="noConversion"/>
  </si>
  <si>
    <t>期末淨資產</t>
    <phoneticPr fontId="9" type="noConversion"/>
  </si>
  <si>
    <t>註：</t>
    <phoneticPr fontId="9" type="noConversion"/>
  </si>
  <si>
    <t>基金來源</t>
    <phoneticPr fontId="9" type="noConversion"/>
  </si>
  <si>
    <t>收入</t>
    <phoneticPr fontId="9" type="noConversion"/>
  </si>
  <si>
    <t>勞務收入</t>
    <phoneticPr fontId="9" type="noConversion"/>
  </si>
  <si>
    <t>財產收入</t>
    <phoneticPr fontId="9" type="noConversion"/>
  </si>
  <si>
    <t>財產收益</t>
    <phoneticPr fontId="9" type="noConversion"/>
  </si>
  <si>
    <t>政府撥入收入</t>
    <phoneticPr fontId="9" type="noConversion"/>
  </si>
  <si>
    <t>其他收入</t>
    <phoneticPr fontId="9" type="noConversion"/>
  </si>
  <si>
    <t>其他收入</t>
    <phoneticPr fontId="9" type="noConversion"/>
  </si>
  <si>
    <t>基金用途</t>
    <phoneticPr fontId="9" type="noConversion"/>
  </si>
  <si>
    <t>支出</t>
    <phoneticPr fontId="9" type="noConversion"/>
  </si>
  <si>
    <t>用人費用</t>
    <phoneticPr fontId="9" type="noConversion"/>
  </si>
  <si>
    <t>人事支出</t>
    <phoneticPr fontId="9" type="noConversion"/>
  </si>
  <si>
    <t>服務費用</t>
    <phoneticPr fontId="9" type="noConversion"/>
  </si>
  <si>
    <t>業務支出</t>
    <phoneticPr fontId="9" type="noConversion"/>
  </si>
  <si>
    <t>材料及用品費</t>
    <phoneticPr fontId="9" type="noConversion"/>
  </si>
  <si>
    <t>租金、償債、利息及相關手續費</t>
    <phoneticPr fontId="9" type="noConversion"/>
  </si>
  <si>
    <t>稅捐及規費(強制費)</t>
    <phoneticPr fontId="9" type="noConversion"/>
  </si>
  <si>
    <t>會費、捐助、補助、分攤、照護、救濟與交流活動費</t>
    <phoneticPr fontId="9" type="noConversion"/>
  </si>
  <si>
    <t>財產損失</t>
    <phoneticPr fontId="9" type="noConversion"/>
  </si>
  <si>
    <t>折舊、折耗及攤銷</t>
    <phoneticPr fontId="9" type="noConversion"/>
  </si>
  <si>
    <t>其他</t>
    <phoneticPr fontId="9" type="noConversion"/>
  </si>
  <si>
    <t>其他支出</t>
    <phoneticPr fontId="9" type="noConversion"/>
  </si>
  <si>
    <t>註：</t>
    <phoneticPr fontId="9" type="noConversion"/>
  </si>
  <si>
    <t>(一)</t>
    <phoneticPr fontId="9" type="noConversion"/>
  </si>
  <si>
    <t>服務收入：</t>
    <phoneticPr fontId="9" type="noConversion"/>
  </si>
  <si>
    <t>V</t>
    <phoneticPr fontId="9" type="noConversion"/>
  </si>
  <si>
    <t>因新冠肺炎疫情影響，致場地設施使用費減少。</t>
    <phoneticPr fontId="9" type="noConversion"/>
  </si>
  <si>
    <t>(二)</t>
    <phoneticPr fontId="9" type="noConversion"/>
  </si>
  <si>
    <t>財產處分收入：</t>
    <phoneticPr fontId="9" type="noConversion"/>
  </si>
  <si>
    <t>V</t>
    <phoneticPr fontId="9" type="noConversion"/>
  </si>
  <si>
    <t>1、報廢財物經惜物網拍賣分配之收入。</t>
    <phoneticPr fontId="9" type="noConversion"/>
  </si>
  <si>
    <t>2、拆除遊戲場設施(單槓、搖椅、不鏽鋼旋轉椅及溜滑梯)報廢物資出售收入31,890元。</t>
    <phoneticPr fontId="9" type="noConversion"/>
  </si>
  <si>
    <t>總計</t>
    <phoneticPr fontId="9" type="noConversion"/>
  </si>
  <si>
    <t>電力系統改善工程款項預撥入戶，致保管金專戶利息收入增加。</t>
    <phoneticPr fontId="9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</si>
  <si>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</si>
  <si>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</si>
  <si>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</si>
  <si>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</si>
  <si>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</si>
  <si>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</si>
  <si>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</si>
  <si>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</si>
  <si>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</si>
  <si>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</si>
  <si>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</si>
  <si>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</si>
  <si>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</si>
  <si>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</si>
  <si>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</si>
  <si>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</si>
  <si>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</si>
  <si>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</si>
  <si>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</si>
  <si>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</si>
  <si>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</si>
  <si>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</si>
  <si>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</si>
  <si>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</si>
  <si>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</si>
  <si>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</si>
  <si>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</si>
  <si>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</si>
  <si>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</si>
  <si>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</si>
  <si>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</si>
  <si>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</si>
  <si>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</si>
  <si>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</si>
  <si>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</si>
  <si>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</si>
  <si>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</si>
  <si>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</si>
  <si>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</si>
  <si>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</si>
  <si>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</si>
  <si>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</si>
  <si>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</si>
  <si>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</si>
  <si>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</si>
  <si>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</si>
  <si>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</si>
  <si>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其他負債</t>
  </si>
  <si>
    <t>什項負債</t>
  </si>
  <si>
    <t>存入保證金</t>
  </si>
  <si>
    <t>淨資產</t>
  </si>
  <si>
    <t>累積餘額</t>
  </si>
  <si>
    <t>2</t>
  </si>
  <si>
    <t>21</t>
  </si>
  <si>
    <t>2102</t>
  </si>
  <si>
    <t>210203</t>
  </si>
  <si>
    <t>28</t>
  </si>
  <si>
    <t>2801</t>
  </si>
  <si>
    <t>280104</t>
  </si>
  <si>
    <t>3</t>
  </si>
  <si>
    <t>31</t>
  </si>
  <si>
    <t>3101</t>
  </si>
  <si>
    <t>310101</t>
  </si>
  <si>
    <t>用人費用</t>
  </si>
  <si>
    <t>0.39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</si>
  <si>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</si>
  <si>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</si>
  <si>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</si>
  <si>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</si>
  <si>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</si>
  <si>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</si>
  <si>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</si>
  <si>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</si>
  <si>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</si>
  <si>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13</t>
  </si>
  <si>
    <t>超時工作報酬</t>
  </si>
  <si>
    <t>131</t>
  </si>
  <si>
    <t>加班費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</si>
  <si>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</si>
  <si>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</si>
  <si>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</si>
  <si>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</si>
  <si>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</si>
  <si>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</si>
  <si>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</si>
  <si>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</si>
  <si>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</si>
  <si>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</si>
  <si>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</si>
  <si>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</si>
  <si>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</si>
  <si>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</si>
  <si>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</si>
  <si>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</si>
  <si>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</si>
  <si>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-13.97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</si>
  <si>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</si>
  <si>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</si>
  <si>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</si>
  <si>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</si>
  <si>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</si>
  <si>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</si>
  <si>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</si>
  <si>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</si>
  <si>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</si>
  <si>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</si>
  <si>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</si>
  <si>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224</t>
  </si>
  <si>
    <t>數據通信費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</si>
  <si>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</si>
  <si>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</si>
  <si>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</si>
  <si>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</si>
  <si>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</si>
  <si>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</si>
  <si>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</si>
  <si>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</si>
  <si>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</si>
  <si>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</si>
  <si>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</si>
  <si>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</si>
  <si>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</si>
  <si>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</si>
  <si>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257</t>
  </si>
  <si>
    <t>雜項設備修護費</t>
  </si>
  <si>
    <t>27</t>
  </si>
  <si>
    <t>一般服務費</t>
  </si>
  <si>
    <t>27D</t>
  </si>
  <si>
    <t>計時與計件人員酬金</t>
  </si>
  <si>
    <t>27F</t>
  </si>
  <si>
    <t>體育活動費</t>
  </si>
  <si>
    <t>專業服務費</t>
  </si>
  <si>
    <t>287</t>
  </si>
  <si>
    <t>委託檢驗(定)試驗認證費</t>
  </si>
  <si>
    <t>28A</t>
  </si>
  <si>
    <t>電腦軟體服務費</t>
  </si>
  <si>
    <t>28Y</t>
  </si>
  <si>
    <t>其他專業服務費</t>
  </si>
  <si>
    <t>29</t>
  </si>
  <si>
    <t>公共關係費</t>
  </si>
  <si>
    <t>291</t>
  </si>
  <si>
    <t>材料及用品費</t>
  </si>
  <si>
    <t>-51.14</t>
  </si>
  <si>
    <t>32</t>
  </si>
  <si>
    <t>用品消耗</t>
  </si>
  <si>
    <t>321</t>
  </si>
  <si>
    <t>辦公（事務）用品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</si>
  <si>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</si>
  <si>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</si>
  <si>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</si>
  <si>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</si>
  <si>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</si>
  <si>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</si>
  <si>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</si>
  <si>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</si>
  <si>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2.97</t>
  </si>
  <si>
    <t>41</t>
  </si>
  <si>
    <t>地租及水租</t>
  </si>
  <si>
    <t>411</t>
  </si>
  <si>
    <t>一般土地租金</t>
  </si>
  <si>
    <t>45</t>
  </si>
  <si>
    <t>雜項設備租金</t>
  </si>
  <si>
    <t>451</t>
  </si>
  <si>
    <t>6</t>
  </si>
  <si>
    <t>稅捐及規費(強制費)</t>
  </si>
  <si>
    <t>66</t>
  </si>
  <si>
    <t>規費</t>
  </si>
  <si>
    <t>661</t>
  </si>
  <si>
    <t>行政規費與強制費</t>
  </si>
  <si>
    <t>7</t>
  </si>
  <si>
    <t>會費、捐助、補助、分攤、照護、救濟與交流活動費</t>
  </si>
  <si>
    <t>-39.52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</si>
  <si>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</si>
  <si>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</si>
  <si>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</si>
  <si>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</si>
  <si>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</si>
  <si>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</si>
  <si>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</si>
  <si>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</si>
  <si>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</si>
  <si>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</si>
  <si>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</si>
  <si>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</si>
  <si>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</si>
  <si>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-68.42</t>
  </si>
  <si>
    <t>91</t>
  </si>
  <si>
    <t>其他支出</t>
  </si>
  <si>
    <t>91Y</t>
  </si>
  <si>
    <t>合       計</t>
  </si>
  <si>
    <t>-0.29</t>
  </si>
  <si>
    <t>11053017580030100</t>
  </si>
  <si>
    <t>地方教育發展基金</t>
  </si>
  <si>
    <t/>
  </si>
  <si>
    <t>上期結餘</t>
  </si>
  <si>
    <t>110/12/02</t>
  </si>
  <si>
    <t>00086</t>
  </si>
  <si>
    <t>1200509</t>
  </si>
  <si>
    <t>支付數</t>
  </si>
  <si>
    <t>00087</t>
  </si>
  <si>
    <t>1200510</t>
  </si>
  <si>
    <t>110/12/03</t>
  </si>
  <si>
    <t>00088</t>
  </si>
  <si>
    <t>1200698</t>
  </si>
  <si>
    <t>00089</t>
  </si>
  <si>
    <t>1200699</t>
  </si>
  <si>
    <t>110/12/09</t>
  </si>
  <si>
    <t>00090</t>
  </si>
  <si>
    <t>1202389</t>
  </si>
  <si>
    <t>110/12/20</t>
  </si>
  <si>
    <t>13999500103236</t>
  </si>
  <si>
    <t>收入數</t>
  </si>
  <si>
    <t>110/12/21</t>
  </si>
  <si>
    <t>00091</t>
  </si>
  <si>
    <t>1205843</t>
  </si>
  <si>
    <t>110/12/23</t>
  </si>
  <si>
    <t>00092</t>
  </si>
  <si>
    <t>1207092</t>
  </si>
  <si>
    <t>00093</t>
  </si>
  <si>
    <t>1207093</t>
  </si>
  <si>
    <t>110/12/24</t>
  </si>
  <si>
    <t>00094</t>
  </si>
  <si>
    <t>1207821</t>
  </si>
  <si>
    <t>110/12/28</t>
  </si>
  <si>
    <t>13993100103656</t>
  </si>
  <si>
    <t>110/12/29</t>
  </si>
  <si>
    <t>00095</t>
  </si>
  <si>
    <t>1209475</t>
  </si>
  <si>
    <t>00096</t>
  </si>
  <si>
    <t>1209476</t>
  </si>
  <si>
    <t>00097</t>
  </si>
  <si>
    <t>1209477</t>
  </si>
  <si>
    <t>110/12/30</t>
  </si>
  <si>
    <t>00098</t>
  </si>
  <si>
    <t>1209871</t>
  </si>
  <si>
    <t>小計</t>
  </si>
  <si>
    <t>總和 :</t>
  </si>
  <si>
    <t>ZA1004  存入保證金-#94121-保固金-109辦公室廁所整修(正昌112.7.27)</t>
  </si>
  <si>
    <t>ZA1003  存入保證金-#94121-保固金-110北、東棟耐震工程(展育115.5.11)</t>
  </si>
  <si>
    <t>ZA1002  存入保證金-#94121-保固金-智慧教室-螢幕等(華經114.12.30)</t>
  </si>
  <si>
    <t>ZA1001  存入保證金-#94121-保固金-智慧教室-視訊分配(華經112.12.30)</t>
  </si>
  <si>
    <t>ZA0901  存入保證金-#94121-保固金-108視聽大樓廁所整(永昌111.11.12)</t>
  </si>
  <si>
    <t>ZA0019  存入保證金-#94121-保固金-108改善無障礙環境(永昌110.11.6)</t>
  </si>
  <si>
    <t>ZA0018  存入保證金-#94121-保固金-108操揚排水改善(福隆111.10.30)</t>
  </si>
  <si>
    <t>ZA0017  存入保證金-#94121-保固金-108縣立體育館整修(翔舜110.7.10)</t>
  </si>
  <si>
    <t>ZA0016  存入保證金-#94121-保固金-107崇真樓廁所整修(永昌110.8.1)</t>
  </si>
  <si>
    <t>ZA0014  存入保證金-#94121-保固金-106北棟教室耐震工程(達陞111.9.5)</t>
  </si>
  <si>
    <t>YA1004  存入保證金-#94121-履約保證金-活動中心拆除重建工程(達陞)</t>
  </si>
  <si>
    <t>YA1003  存入保證金-#94121-履約保證金-校園創意(共融式)兒童遊戲場等(爵鼎)</t>
  </si>
  <si>
    <t>YA1002  存入保證金-#94121-履約保證金-彰化縣中小學電力系統改善工程(言瑞)</t>
  </si>
  <si>
    <t>YA1001  存入保證金-#94121-履約保證金-109年度辦公室廁所整修工程(正昌)</t>
  </si>
  <si>
    <t>YA0902  存入保證金-#94121-履約保證金-109年度午餐食材採購(豐成)</t>
  </si>
  <si>
    <t>YA0901  存入保證金-#94121-履約保證金-109年度午餐食材採購(承富)</t>
  </si>
  <si>
    <t>YA0033  存入保證金-#94121-履約保證金-110年耐震(展育)</t>
  </si>
  <si>
    <t>YA0032  存入保證金-#94121-履約保證金-午餐食材採購(豐成)</t>
  </si>
  <si>
    <t>YA0028  存入保證金-#94121-履約保證金-午餐食材採購(承富)</t>
  </si>
  <si>
    <t>M00007  應付代收款-保管戶#94121-指定用途捐款-補助課後照顧及獎助學金</t>
  </si>
  <si>
    <t>M00006  應付代收款-保管戶#94121-指定用途捐款-補助代收代辦、課後照顧及獎助學金</t>
  </si>
  <si>
    <t>M00005  應付代收款-保管戶#94121-指定用途捐款-品德教育經費</t>
  </si>
  <si>
    <t>M00004  應付代收款-保管戶#94121-指定用途捐款-本校學生代收代辦及課後輔導費</t>
  </si>
  <si>
    <t>M00003  應付代收款-保管戶#94121-指定用途捐款-本校教學設備及師生活動經費</t>
  </si>
  <si>
    <t>M00002  應付代收款-保管戶#94121-指定用途捐款-本校學生學雜費及代收代辦費</t>
  </si>
  <si>
    <t>M00001  應付代收款-保管戶#94121-指定用途捐款-外語教育經費</t>
  </si>
  <si>
    <t>KA0001  暫收及待結轉帳項-#196451-學生代收代辦費</t>
  </si>
  <si>
    <t>HC0008  應付代收款-仁愛專戶#94366-蕭桃子女士獎助學金</t>
  </si>
  <si>
    <t>HC0007  應付代收款-仁愛專戶#94366-南管社團發展基金</t>
  </si>
  <si>
    <t>HC0006  應付代收款-仁愛專戶#94366-凱文獎助學金</t>
  </si>
  <si>
    <t>HC0005  應付代收款-仁愛專戶#94366- 林春複‧林吳鴦慈善會獎助學金</t>
  </si>
  <si>
    <t>HC0004  應付代收款-仁愛專戶#94366-許粘盆女士獎助基金定存單</t>
  </si>
  <si>
    <t>HC0003  應付代收款-仁愛專戶#94366-許粘盆女士獎助基金</t>
  </si>
  <si>
    <t>HC0002  應付代收款-仁愛專戶#94366-林謹獎助學金專戶定存單</t>
  </si>
  <si>
    <t>HC0001  應付代收款-仁愛專戶#94366-林謹獎助學金專戶</t>
  </si>
  <si>
    <t>HB0001  應付代收款-仁愛專戶#94366-獎學金專戶</t>
  </si>
  <si>
    <t>HA0002  應付代收款-仁愛專戶#94366-仁愛專戶定存單</t>
  </si>
  <si>
    <t>HA0001  應付代收款-仁愛專戶#94366-仁愛專戶</t>
  </si>
  <si>
    <t>GA0004  應付代收款-午餐戶#94190-午餐專戶定存單</t>
  </si>
  <si>
    <t>GA0003  應付代收款-午餐戶#94190-午餐費</t>
  </si>
  <si>
    <t>FA0009  應付代收款-保管戶94121-玉山志工社會福利慈善事業基金會</t>
  </si>
  <si>
    <t>FA0008  應付代收款-台銀保管戶#196451-專戶利息</t>
  </si>
  <si>
    <t>FA0006  應付代收款-保管戶#94121-捐贈本校教學設備及師生活動經費</t>
  </si>
  <si>
    <t>FA0003  應付代收款-保管戶#94121-資源回收經費</t>
  </si>
  <si>
    <t>FA0002  應付代收款-保管戶#94121-場地設施使用費</t>
  </si>
  <si>
    <t>FA0001  應付代收款-保管戶#94121-專戶利息</t>
  </si>
  <si>
    <t>EA0006  應付代收款-保管戶#94121-婚喪生育子女教育補助</t>
  </si>
  <si>
    <t>EA0001  應付代收款-保管戶#94121-教職員退休金</t>
  </si>
  <si>
    <t>DB0003  應付代收款-保管戶#94121-午餐補助-午餐費</t>
  </si>
  <si>
    <t>DA1101  應付代收款-保管戶#94121-電力系統改善</t>
  </si>
  <si>
    <t>DA0008  應付代收款-保管戶#94121-特教助理</t>
  </si>
  <si>
    <t>DA0007  應付代收款-保管戶#94121-約聘人力</t>
  </si>
  <si>
    <t>DA0004  應付代收款-保管戶#94121-秀水鄉農會補助</t>
  </si>
  <si>
    <t>DA0002  應付代收款-保管戶#94121-各項補助經費</t>
  </si>
  <si>
    <t>DA0001  應付代收款-保管戶#94121-各項獎助學金</t>
  </si>
  <si>
    <t>CB0100  應付代收款-保管戶#94121-課後照顧</t>
  </si>
  <si>
    <t>CB0020  應付代收款-保管戶外94121-足球社團</t>
  </si>
  <si>
    <t>CB0019  應付代收款-保管戶#94121-卡林巴琴社團</t>
  </si>
  <si>
    <t>CB0015  應付代收款-保管戶#94121-輕黏土社團</t>
  </si>
  <si>
    <t>CB0013  應付代收款-保管戶#94121-烏克麗麗社團</t>
  </si>
  <si>
    <t>CB0010  應付代收款-保管戶#94121-舞蹈社團</t>
  </si>
  <si>
    <t>CB0002  應付代收款-保管戶#94121-畢業紀念冊</t>
  </si>
  <si>
    <t>CB0001  應付代收款-保管戶#94121-校外教學</t>
  </si>
  <si>
    <t>CA0004  應付代收款-保管戶#94121-教科書書籍費</t>
  </si>
  <si>
    <t>CA0002  應付代收款-保管戶#94121-平安保險費</t>
  </si>
  <si>
    <t>CA0001  應付代收款-保管戶#94121-家長會費</t>
  </si>
  <si>
    <t>BA0014  應付代收款-保管戶#94121-代收健保費(勞)</t>
  </si>
  <si>
    <t>BA0013  應付代收款-保管戶#94121-代收健保費(公)</t>
  </si>
  <si>
    <t>BA0012  應付代收款-保管戶#94121-代收水電、電話費</t>
  </si>
  <si>
    <t>BA0011  應付代收款-保管戶#94121-代收鐘點費</t>
  </si>
  <si>
    <t>BA0009  應付代收款-保管戶#94121-二代健保機補</t>
  </si>
  <si>
    <t>BA0008  應付代收款-保管戶#94121-二代健保自付</t>
  </si>
  <si>
    <t>BA0006  應付代收款-保管戶#94121-代收所得稅</t>
  </si>
  <si>
    <t>BA0005  應付代收款-保管戶#94121-代收勞工退休金</t>
  </si>
  <si>
    <t>BA0004  應付代收款-保管戶#94121-代收勞保費</t>
  </si>
  <si>
    <t>BA0003  應付代收款-保管戶#94121-代收健保費</t>
  </si>
  <si>
    <t>BA0002  應付代收款-保管戶#94121-代收公保費</t>
  </si>
  <si>
    <t>BA0001  應付代收款-保管戶#94121-代收退撫金</t>
  </si>
  <si>
    <t>AA0002  應付代收款-零用戶#94046-其他</t>
  </si>
  <si>
    <t>AA0001  應付代收款-零用戶#94046-零用金</t>
  </si>
  <si>
    <t>收支結存數(不含已簽證尚未支付)(H)=(G)-(E)</t>
  </si>
  <si>
    <t>收支結存數(含扣除未過帳)(G)=(F)-(D)</t>
  </si>
  <si>
    <t>收支結存數(含已過帳)(F)=(A)-(C)</t>
  </si>
  <si>
    <t>已簽證尚未支付數(E)</t>
  </si>
  <si>
    <t>未過帳(D)</t>
  </si>
  <si>
    <t>累計實現數 (C )</t>
  </si>
  <si>
    <t>簽證總數(B)</t>
  </si>
  <si>
    <t>累計收入(A)</t>
  </si>
  <si>
    <t>預算科目/用途別</t>
  </si>
  <si>
    <t>中華民國110年1月1日至110年12月31日</t>
  </si>
  <si>
    <t>代收代辦經費收支餘額表</t>
  </si>
  <si>
    <t>彰化縣地方教育發展基金－彰化縣秀水鄉馬興國民小學</t>
  </si>
  <si>
    <t>175-1</t>
  </si>
  <si>
    <t>財產孳息收入</t>
    <phoneticPr fontId="9" type="noConversion"/>
  </si>
  <si>
    <t>淨資產</t>
    <phoneticPr fontId="9" type="noConversion"/>
  </si>
  <si>
    <t>固定資產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</si>
</sst>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99" x14ac:knownFonts="1">
    <font>
      <sz val="10"/>
      <color indexed="8"/>
      <name val="ARIAL"/>
      <family val="2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b/>
      <sz val="10.5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sz val="11"/>
      <color indexed="8"/>
      <name val="新細明體"/>
      <family val="1"/>
      <charset val="136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5">
    <xf numFmtId="0" fontId="0" fillId="0" borderId="0">
      <alignment vertical="top"/>
    </xf>
    <xf numFmtId="0" fontId="10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1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7" fillId="0" borderId="0">
      <alignment vertical="center" wrapText="1"/>
    </xf>
    <xf numFmtId="0" fontId="22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843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0" fillId="0" borderId="0" xfId="1">
      <alignment vertical="top"/>
    </xf>
    <xf numFmtId="0" fontId="10" fillId="0" borderId="5" xfId="1" applyBorder="1">
      <alignment vertical="top"/>
    </xf>
    <xf numFmtId="0" fontId="10" fillId="0" borderId="0" xfId="1" applyAlignment="1">
      <alignment horizontal="center" vertical="center"/>
    </xf>
    <xf numFmtId="0" fontId="10" fillId="0" borderId="6" xfId="1" applyBorder="1">
      <alignment vertical="top"/>
    </xf>
    <xf numFmtId="0" fontId="10" fillId="0" borderId="0" xfId="1" applyBorder="1">
      <alignment vertical="top"/>
    </xf>
    <xf numFmtId="0" fontId="10" fillId="0" borderId="8" xfId="1" applyBorder="1">
      <alignment vertical="top"/>
    </xf>
    <xf numFmtId="0" fontId="10" fillId="0" borderId="2" xfId="1" applyBorder="1">
      <alignment vertical="top"/>
    </xf>
    <xf numFmtId="0" fontId="18" fillId="0" borderId="0" xfId="1" applyFont="1" applyAlignment="1">
      <alignment horizontal="center" vertical="top" wrapText="1"/>
    </xf>
    <xf numFmtId="0" fontId="10" fillId="0" borderId="10" xfId="1" applyBorder="1">
      <alignment vertical="top"/>
    </xf>
    <xf numFmtId="0" fontId="10" fillId="0" borderId="4" xfId="1" applyBorder="1">
      <alignment vertical="top"/>
    </xf>
    <xf numFmtId="0" fontId="10" fillId="0" borderId="3" xfId="1" applyBorder="1">
      <alignment vertical="top"/>
    </xf>
    <xf numFmtId="0" fontId="10" fillId="0" borderId="1" xfId="1" applyBorder="1">
      <alignment vertical="top"/>
    </xf>
    <xf numFmtId="0" fontId="10" fillId="0" borderId="15" xfId="1" applyBorder="1">
      <alignment vertical="top"/>
    </xf>
    <xf numFmtId="0" fontId="10" fillId="0" borderId="13" xfId="1" applyBorder="1" applyAlignment="1">
      <alignment horizontal="center" vertical="center"/>
    </xf>
    <xf numFmtId="0" fontId="6" fillId="0" borderId="5" xfId="1" applyFont="1" applyBorder="1" applyAlignment="1">
      <alignment horizontal="left" vertical="top" wrapText="1"/>
    </xf>
    <xf numFmtId="0" fontId="10" fillId="0" borderId="1" xfId="1" applyBorder="1" applyAlignment="1">
      <alignment vertical="center"/>
    </xf>
    <xf numFmtId="0" fontId="10" fillId="0" borderId="4" xfId="1" applyBorder="1" applyAlignment="1">
      <alignment vertical="center"/>
    </xf>
    <xf numFmtId="0" fontId="10" fillId="0" borderId="13" xfId="1" applyBorder="1" applyAlignment="1">
      <alignment vertical="center"/>
    </xf>
    <xf numFmtId="0" fontId="10" fillId="0" borderId="15" xfId="1" applyBorder="1" applyAlignment="1">
      <alignment horizontal="center" vertical="center"/>
    </xf>
    <xf numFmtId="0" fontId="10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Fill="1" applyBorder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3" fontId="26" fillId="0" borderId="0" xfId="3" applyNumberFormat="1" applyFont="1" applyFill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 applyBorder="1"/>
    <xf numFmtId="0" fontId="22" fillId="0" borderId="0" xfId="6" applyBorder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49" fontId="22" fillId="0" borderId="0" xfId="6" applyNumberFormat="1" applyBorder="1" applyAlignment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 applyAlignment="1"/>
    <xf numFmtId="0" fontId="22" fillId="0" borderId="2" xfId="6" applyBorder="1"/>
    <xf numFmtId="0" fontId="22" fillId="0" borderId="9" xfId="6" applyBorder="1"/>
    <xf numFmtId="0" fontId="22" fillId="0" borderId="0" xfId="6" applyFont="1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6" applyNumberFormat="1"/>
    <xf numFmtId="49" fontId="22" fillId="0" borderId="0" xfId="3" applyNumberFormat="1" applyFont="1">
      <alignment vertical="center"/>
    </xf>
    <xf numFmtId="0" fontId="22" fillId="0" borderId="0" xfId="3" applyFont="1">
      <alignment vertical="center"/>
    </xf>
    <xf numFmtId="177" fontId="16" fillId="0" borderId="0" xfId="8" applyNumberFormat="1" applyFont="1">
      <alignment vertical="center"/>
    </xf>
    <xf numFmtId="49" fontId="22" fillId="0" borderId="0" xfId="5" applyNumberFormat="1" applyFont="1" applyProtection="1">
      <protection locked="0"/>
    </xf>
    <xf numFmtId="0" fontId="22" fillId="0" borderId="0" xfId="5" applyFon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34" fillId="0" borderId="0" xfId="5" applyFont="1" applyBorder="1" applyProtection="1">
      <protection locked="0"/>
    </xf>
    <xf numFmtId="0" fontId="34" fillId="0" borderId="3" xfId="5" applyFont="1" applyBorder="1" applyAlignment="1" applyProtection="1">
      <protection locked="0"/>
    </xf>
    <xf numFmtId="0" fontId="7" fillId="0" borderId="0" xfId="0" applyFont="1">
      <alignment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Font="1" applyProtection="1">
      <protection locked="0"/>
    </xf>
    <xf numFmtId="0" fontId="22" fillId="0" borderId="0" xfId="5" applyFont="1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22" fillId="0" borderId="0" xfId="5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36" fillId="0" borderId="0" xfId="0" applyFont="1" applyAlignment="1">
      <alignment horizontal="left" vertical="top"/>
    </xf>
    <xf numFmtId="0" fontId="5" fillId="0" borderId="18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6" fillId="0" borderId="17" xfId="0" applyFont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5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18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7" fillId="0" borderId="0" xfId="1" applyFont="1">
      <alignment vertical="top"/>
    </xf>
    <xf numFmtId="0" fontId="7" fillId="0" borderId="0" xfId="1" applyFont="1" applyAlignment="1">
      <alignment horizontal="center" vertical="center"/>
    </xf>
    <xf numFmtId="0" fontId="14" fillId="0" borderId="10" xfId="0" applyFont="1" applyBorder="1" applyAlignment="1"/>
    <xf numFmtId="0" fontId="7" fillId="0" borderId="11" xfId="0" applyFont="1" applyBorder="1" applyAlignment="1"/>
    <xf numFmtId="0" fontId="14" fillId="0" borderId="11" xfId="0" applyFont="1" applyBorder="1" applyAlignment="1"/>
    <xf numFmtId="0" fontId="19" fillId="0" borderId="3" xfId="1" applyFont="1" applyBorder="1" applyAlignment="1">
      <alignment horizontal="left"/>
    </xf>
    <xf numFmtId="0" fontId="19" fillId="0" borderId="0" xfId="1" applyFont="1" applyBorder="1" applyAlignment="1">
      <alignment horizontal="left"/>
    </xf>
    <xf numFmtId="0" fontId="19" fillId="0" borderId="2" xfId="1" applyFont="1" applyBorder="1" applyAlignment="1">
      <alignment horizontal="left"/>
    </xf>
    <xf numFmtId="0" fontId="7" fillId="0" borderId="8" xfId="1" applyFont="1" applyBorder="1" applyAlignment="1">
      <alignment horizontal="left"/>
    </xf>
    <xf numFmtId="0" fontId="19" fillId="0" borderId="13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 readingOrder="1"/>
    </xf>
    <xf numFmtId="0" fontId="19" fillId="0" borderId="5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/>
    </xf>
    <xf numFmtId="0" fontId="7" fillId="0" borderId="15" xfId="1" applyFont="1" applyBorder="1">
      <alignment vertical="top"/>
    </xf>
    <xf numFmtId="0" fontId="7" fillId="0" borderId="4" xfId="1" applyFont="1" applyBorder="1" applyAlignment="1">
      <alignment horizontal="left" vertical="top"/>
    </xf>
    <xf numFmtId="0" fontId="7" fillId="0" borderId="5" xfId="1" applyFont="1" applyBorder="1" applyAlignment="1">
      <alignment horizontal="left" vertical="top"/>
    </xf>
    <xf numFmtId="0" fontId="7" fillId="0" borderId="6" xfId="1" applyFont="1" applyBorder="1" applyAlignment="1">
      <alignment vertical="top"/>
    </xf>
    <xf numFmtId="0" fontId="7" fillId="0" borderId="7" xfId="1" applyFont="1" applyBorder="1" applyAlignment="1">
      <alignment horizontal="left" vertical="top"/>
    </xf>
    <xf numFmtId="0" fontId="7" fillId="0" borderId="6" xfId="1" applyFont="1" applyBorder="1" applyAlignment="1">
      <alignment horizontal="left" vertical="top"/>
    </xf>
    <xf numFmtId="0" fontId="7" fillId="0" borderId="9" xfId="1" applyFont="1" applyBorder="1" applyAlignment="1">
      <alignment horizontal="center" vertical="top" readingOrder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7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 applyAlignment="1">
      <alignment vertical="top"/>
    </xf>
    <xf numFmtId="176" fontId="50" fillId="0" borderId="1" xfId="3" applyNumberFormat="1" applyFont="1" applyFill="1" applyBorder="1">
      <alignment vertical="center"/>
    </xf>
    <xf numFmtId="176" fontId="50" fillId="2" borderId="1" xfId="3" applyNumberFormat="1" applyFont="1" applyFill="1" applyBorder="1">
      <alignment vertical="center"/>
    </xf>
    <xf numFmtId="176" fontId="50" fillId="0" borderId="1" xfId="3" applyNumberFormat="1" applyFont="1" applyBorder="1">
      <alignment vertical="center"/>
    </xf>
    <xf numFmtId="49" fontId="51" fillId="0" borderId="0" xfId="3" applyNumberFormat="1" applyFont="1">
      <alignment vertical="center"/>
    </xf>
    <xf numFmtId="0" fontId="51" fillId="0" borderId="0" xfId="3" applyFont="1">
      <alignment vertical="center"/>
    </xf>
    <xf numFmtId="177" fontId="52" fillId="0" borderId="0" xfId="8" applyNumberFormat="1" applyFont="1">
      <alignment vertical="center"/>
    </xf>
    <xf numFmtId="3" fontId="49" fillId="0" borderId="12" xfId="1" applyNumberFormat="1" applyFont="1" applyBorder="1" applyAlignment="1">
      <alignment horizontal="right" vertical="top" wrapText="1"/>
    </xf>
    <xf numFmtId="2" fontId="49" fillId="0" borderId="8" xfId="1" applyNumberFormat="1" applyFont="1" applyBorder="1" applyAlignment="1">
      <alignment horizontal="right" vertical="top" wrapText="1"/>
    </xf>
    <xf numFmtId="2" fontId="49" fillId="0" borderId="9" xfId="1" applyNumberFormat="1" applyFont="1" applyBorder="1" applyAlignment="1">
      <alignment horizontal="right" vertical="top" wrapText="1"/>
    </xf>
    <xf numFmtId="0" fontId="6" fillId="0" borderId="1" xfId="1" applyFont="1" applyBorder="1" applyAlignment="1">
      <alignment horizontal="center" vertical="top" wrapText="1" readingOrder="1"/>
    </xf>
    <xf numFmtId="176" fontId="7" fillId="0" borderId="4" xfId="0" applyNumberFormat="1" applyFont="1" applyBorder="1" applyAlignment="1">
      <alignment horizontal="left" vertical="top"/>
    </xf>
    <xf numFmtId="176" fontId="7" fillId="0" borderId="3" xfId="0" applyNumberFormat="1" applyFont="1" applyBorder="1" applyAlignment="1">
      <alignment horizontal="left" vertical="top"/>
    </xf>
    <xf numFmtId="176" fontId="7" fillId="0" borderId="5" xfId="0" applyNumberFormat="1" applyFont="1" applyBorder="1" applyAlignment="1">
      <alignment horizontal="left" vertical="top"/>
    </xf>
    <xf numFmtId="176" fontId="7" fillId="0" borderId="4" xfId="0" applyNumberFormat="1" applyFont="1" applyBorder="1" applyAlignment="1">
      <alignment horizontal="left" vertical="top" wrapText="1"/>
    </xf>
    <xf numFmtId="176" fontId="7" fillId="0" borderId="10" xfId="0" applyNumberFormat="1" applyFont="1" applyBorder="1" applyAlignment="1">
      <alignment horizontal="right" vertical="top" wrapText="1"/>
    </xf>
    <xf numFmtId="176" fontId="7" fillId="0" borderId="10" xfId="0" applyNumberFormat="1" applyFont="1" applyBorder="1" applyAlignment="1">
      <alignment horizontal="left" vertical="top" wrapText="1"/>
    </xf>
    <xf numFmtId="176" fontId="7" fillId="0" borderId="6" xfId="0" applyNumberFormat="1" applyFont="1" applyBorder="1" applyAlignment="1">
      <alignment vertical="top"/>
    </xf>
    <xf numFmtId="176" fontId="7" fillId="0" borderId="0" xfId="0" applyNumberFormat="1" applyFont="1" applyBorder="1" applyAlignment="1">
      <alignment horizontal="left" vertical="top"/>
    </xf>
    <xf numFmtId="176" fontId="7" fillId="0" borderId="7" xfId="0" applyNumberFormat="1" applyFont="1" applyBorder="1" applyAlignment="1">
      <alignment horizontal="left" vertical="top"/>
    </xf>
    <xf numFmtId="176" fontId="14" fillId="0" borderId="6" xfId="0" applyNumberFormat="1" applyFont="1" applyBorder="1" applyAlignment="1">
      <alignment horizontal="left" vertical="top" wrapText="1"/>
    </xf>
    <xf numFmtId="176" fontId="7" fillId="0" borderId="11" xfId="0" applyNumberFormat="1" applyFont="1" applyBorder="1" applyAlignment="1">
      <alignment horizontal="right" vertical="top" wrapText="1"/>
    </xf>
    <xf numFmtId="176" fontId="7" fillId="0" borderId="11" xfId="0" applyNumberFormat="1" applyFont="1" applyBorder="1" applyAlignment="1">
      <alignment horizontal="left" vertical="top" wrapText="1"/>
    </xf>
    <xf numFmtId="176" fontId="7" fillId="0" borderId="0" xfId="0" applyNumberFormat="1" applyFont="1" applyBorder="1" applyAlignment="1">
      <alignment vertical="top"/>
    </xf>
    <xf numFmtId="176" fontId="7" fillId="0" borderId="6" xfId="0" applyNumberFormat="1" applyFont="1" applyBorder="1" applyAlignment="1">
      <alignment horizontal="left" vertical="top" wrapText="1"/>
    </xf>
    <xf numFmtId="176" fontId="7" fillId="0" borderId="0" xfId="0" applyNumberFormat="1" applyFont="1" applyBorder="1" applyAlignment="1">
      <alignment horizontal="left" vertical="top" readingOrder="1"/>
    </xf>
    <xf numFmtId="176" fontId="7" fillId="0" borderId="7" xfId="0" applyNumberFormat="1" applyFont="1" applyBorder="1" applyAlignment="1">
      <alignment horizontal="left" vertical="top" readingOrder="1"/>
    </xf>
    <xf numFmtId="176" fontId="7" fillId="0" borderId="11" xfId="0" applyNumberFormat="1" applyFont="1" applyBorder="1" applyAlignment="1">
      <alignment horizontal="left" vertical="top" wrapText="1" readingOrder="1"/>
    </xf>
    <xf numFmtId="176" fontId="7" fillId="0" borderId="6" xfId="0" applyNumberFormat="1" applyFont="1" applyBorder="1">
      <alignment vertical="top"/>
    </xf>
    <xf numFmtId="176" fontId="7" fillId="0" borderId="11" xfId="0" applyNumberFormat="1" applyFont="1" applyBorder="1">
      <alignment vertical="top"/>
    </xf>
    <xf numFmtId="176" fontId="7" fillId="0" borderId="8" xfId="0" applyNumberFormat="1" applyFont="1" applyBorder="1" applyAlignment="1">
      <alignment vertical="top"/>
    </xf>
    <xf numFmtId="176" fontId="7" fillId="0" borderId="2" xfId="0" applyNumberFormat="1" applyFont="1" applyBorder="1" applyAlignment="1">
      <alignment vertical="top"/>
    </xf>
    <xf numFmtId="176" fontId="7" fillId="0" borderId="9" xfId="0" applyNumberFormat="1" applyFont="1" applyBorder="1" applyAlignment="1">
      <alignment vertical="top"/>
    </xf>
    <xf numFmtId="176" fontId="7" fillId="0" borderId="8" xfId="0" applyNumberFormat="1" applyFont="1" applyBorder="1">
      <alignment vertical="top"/>
    </xf>
    <xf numFmtId="176" fontId="7" fillId="0" borderId="1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 applyAlignment="1">
      <alignment vertical="top"/>
    </xf>
    <xf numFmtId="0" fontId="10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0" fillId="0" borderId="0" xfId="1" applyNumberFormat="1">
      <alignment vertical="top"/>
    </xf>
    <xf numFmtId="0" fontId="6" fillId="0" borderId="16" xfId="0" applyFont="1" applyBorder="1" applyAlignment="1">
      <alignment horizontal="justify" vertical="top" wrapText="1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10" fillId="0" borderId="7" xfId="1" applyBorder="1" applyAlignment="1">
      <alignment vertical="top"/>
    </xf>
    <xf numFmtId="0" fontId="10" fillId="0" borderId="0" xfId="1" applyAlignment="1">
      <alignment vertical="top"/>
    </xf>
    <xf numFmtId="0" fontId="10" fillId="0" borderId="9" xfId="1" applyBorder="1" applyAlignment="1">
      <alignment vertical="top"/>
    </xf>
    <xf numFmtId="0" fontId="6" fillId="0" borderId="12" xfId="1" applyFont="1" applyBorder="1" applyAlignment="1">
      <alignment horizontal="center" vertical="top" wrapText="1"/>
    </xf>
    <xf numFmtId="0" fontId="46" fillId="0" borderId="15" xfId="1" applyFont="1" applyBorder="1" applyAlignment="1">
      <alignment vertical="top"/>
    </xf>
    <xf numFmtId="0" fontId="10" fillId="0" borderId="12" xfId="1" applyBorder="1" applyAlignment="1">
      <alignment vertical="top"/>
    </xf>
    <xf numFmtId="0" fontId="10" fillId="0" borderId="1" xfId="1" applyBorder="1" applyAlignment="1">
      <alignment vertical="top"/>
    </xf>
    <xf numFmtId="0" fontId="6" fillId="0" borderId="11" xfId="1" applyFont="1" applyBorder="1" applyAlignment="1">
      <alignment horizontal="center" vertical="top" wrapText="1"/>
    </xf>
    <xf numFmtId="0" fontId="10" fillId="0" borderId="15" xfId="1" applyBorder="1" applyAlignment="1">
      <alignment vertical="top"/>
    </xf>
    <xf numFmtId="177" fontId="46" fillId="0" borderId="0" xfId="7" applyNumberFormat="1" applyFont="1" applyFill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2" fillId="0" borderId="0" xfId="5" applyFont="1" applyBorder="1" applyAlignment="1" applyProtection="1">
      <alignment horizontal="center" vertical="center" wrapText="1"/>
      <protection locked="0"/>
    </xf>
    <xf numFmtId="0" fontId="53" fillId="0" borderId="0" xfId="0" applyFont="1" applyFill="1" applyAlignment="1">
      <alignment vertical="top" wrapText="1"/>
    </xf>
    <xf numFmtId="177" fontId="53" fillId="0" borderId="0" xfId="7" applyNumberFormat="1" applyFont="1" applyFill="1">
      <alignment vertical="top"/>
    </xf>
    <xf numFmtId="0" fontId="14" fillId="0" borderId="11" xfId="0" applyFont="1" applyBorder="1" applyAlignment="1">
      <alignment horizontal="left" wrapText="1"/>
    </xf>
    <xf numFmtId="0" fontId="7" fillId="0" borderId="0" xfId="1" applyFont="1" applyAlignment="1">
      <alignment horizontal="left" vertical="top" wrapText="1" readingOrder="1"/>
    </xf>
    <xf numFmtId="0" fontId="7" fillId="0" borderId="12" xfId="1" applyFont="1" applyBorder="1" applyAlignment="1">
      <alignment vertical="top"/>
    </xf>
    <xf numFmtId="0" fontId="14" fillId="0" borderId="12" xfId="1" applyFont="1" applyBorder="1" applyAlignment="1">
      <alignment vertical="top"/>
    </xf>
    <xf numFmtId="0" fontId="14" fillId="0" borderId="11" xfId="0" applyFont="1" applyBorder="1" applyAlignment="1">
      <alignment horizontal="left" wrapText="1" indent="1"/>
    </xf>
    <xf numFmtId="0" fontId="14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 applyAlignment="1">
      <alignment vertical="top"/>
    </xf>
    <xf numFmtId="176" fontId="48" fillId="0" borderId="10" xfId="7" applyNumberFormat="1" applyFont="1" applyBorder="1" applyAlignment="1"/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8" fillId="0" borderId="0" xfId="5" applyNumberFormat="1" applyFont="1" applyAlignment="1" applyProtection="1">
      <alignment horizontal="center" vertical="center"/>
      <protection locked="0"/>
    </xf>
    <xf numFmtId="0" fontId="58" fillId="0" borderId="0" xfId="5" applyFont="1" applyAlignment="1" applyProtection="1">
      <alignment horizontal="center" vertical="center"/>
      <protection locked="0"/>
    </xf>
    <xf numFmtId="177" fontId="58" fillId="0" borderId="0" xfId="8" applyNumberFormat="1" applyFont="1" applyAlignment="1" applyProtection="1">
      <alignment horizontal="center" vertical="center" wrapText="1"/>
      <protection locked="0"/>
    </xf>
    <xf numFmtId="177" fontId="58" fillId="0" borderId="0" xfId="8" applyNumberFormat="1" applyFont="1" applyAlignment="1" applyProtection="1">
      <alignment horizontal="center" vertical="center"/>
      <protection locked="0"/>
    </xf>
    <xf numFmtId="49" fontId="58" fillId="0" borderId="0" xfId="12" applyNumberFormat="1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horizontal="right" vertical="center" wrapText="1"/>
    </xf>
    <xf numFmtId="49" fontId="58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6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60" fillId="0" borderId="1" xfId="8" applyNumberFormat="1" applyFont="1" applyBorder="1" applyAlignment="1" applyProtection="1">
      <protection locked="0"/>
    </xf>
    <xf numFmtId="180" fontId="54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9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1" fillId="0" borderId="0" xfId="1" applyFont="1">
      <alignment vertical="top"/>
    </xf>
    <xf numFmtId="0" fontId="61" fillId="0" borderId="0" xfId="1" applyFont="1" applyAlignment="1">
      <alignment horizontal="center" vertical="center"/>
    </xf>
    <xf numFmtId="0" fontId="62" fillId="0" borderId="0" xfId="0" applyFont="1" applyAlignment="1"/>
    <xf numFmtId="0" fontId="54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4" fillId="0" borderId="0" xfId="8" applyNumberFormat="1" applyFont="1" applyAlignment="1" applyProtection="1">
      <protection locked="0"/>
    </xf>
    <xf numFmtId="0" fontId="54" fillId="0" borderId="0" xfId="5" applyFont="1" applyProtection="1">
      <protection locked="0"/>
    </xf>
    <xf numFmtId="49" fontId="63" fillId="0" borderId="0" xfId="3" applyNumberFormat="1" applyFont="1">
      <alignment vertical="center"/>
    </xf>
    <xf numFmtId="0" fontId="63" fillId="0" borderId="0" xfId="3" applyFont="1">
      <alignment vertical="center"/>
    </xf>
    <xf numFmtId="177" fontId="66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1" xfId="1" applyFont="1" applyBorder="1" applyAlignment="1">
      <alignment horizontal="center" vertical="center" wrapText="1" readingOrder="1"/>
    </xf>
    <xf numFmtId="3" fontId="49" fillId="0" borderId="8" xfId="1" applyNumberFormat="1" applyFont="1" applyBorder="1" applyAlignment="1">
      <alignment horizontal="right" vertical="top" wrapText="1"/>
    </xf>
    <xf numFmtId="0" fontId="10" fillId="0" borderId="13" xfId="1" applyBorder="1">
      <alignment vertical="top"/>
    </xf>
    <xf numFmtId="0" fontId="10" fillId="0" borderId="14" xfId="1" applyBorder="1">
      <alignment vertical="top"/>
    </xf>
    <xf numFmtId="0" fontId="19" fillId="0" borderId="14" xfId="1" applyFont="1" applyBorder="1" applyAlignment="1">
      <alignment horizontal="left" vertical="top" wrapText="1"/>
    </xf>
    <xf numFmtId="0" fontId="19" fillId="0" borderId="14" xfId="1" applyFont="1" applyBorder="1">
      <alignment vertical="top"/>
    </xf>
    <xf numFmtId="0" fontId="18" fillId="0" borderId="0" xfId="1" applyFont="1" applyAlignment="1">
      <alignment horizontal="center" vertical="top" wrapText="1"/>
    </xf>
    <xf numFmtId="177" fontId="68" fillId="0" borderId="0" xfId="7" applyNumberFormat="1" applyFont="1">
      <alignment vertical="top"/>
    </xf>
    <xf numFmtId="0" fontId="69" fillId="0" borderId="0" xfId="1" applyFont="1">
      <alignment vertical="top"/>
    </xf>
    <xf numFmtId="0" fontId="18" fillId="0" borderId="0" xfId="1" applyFont="1" applyAlignment="1">
      <alignment horizontal="center" vertical="top" wrapText="1"/>
    </xf>
    <xf numFmtId="177" fontId="72" fillId="0" borderId="0" xfId="7" applyNumberFormat="1" applyFont="1">
      <alignment vertical="top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74" fillId="0" borderId="0" xfId="1" applyFont="1" applyAlignment="1">
      <alignment horizontal="center" vertical="top" wrapText="1"/>
    </xf>
    <xf numFmtId="0" fontId="19" fillId="0" borderId="0" xfId="1" applyFont="1">
      <alignment vertical="top"/>
    </xf>
    <xf numFmtId="0" fontId="19" fillId="0" borderId="0" xfId="0" applyFont="1">
      <alignment vertical="top"/>
    </xf>
    <xf numFmtId="0" fontId="75" fillId="0" borderId="10" xfId="0" applyFont="1" applyBorder="1">
      <alignment vertical="top"/>
    </xf>
    <xf numFmtId="0" fontId="75" fillId="0" borderId="11" xfId="0" applyFont="1" applyBorder="1">
      <alignment vertical="top"/>
    </xf>
    <xf numFmtId="0" fontId="19" fillId="0" borderId="11" xfId="0" applyFont="1" applyBorder="1" applyAlignment="1">
      <alignment horizontal="left" vertical="top" indent="1"/>
    </xf>
    <xf numFmtId="0" fontId="19" fillId="0" borderId="12" xfId="0" applyFont="1" applyBorder="1" applyAlignment="1">
      <alignment horizontal="left" vertical="top" indent="1"/>
    </xf>
    <xf numFmtId="180" fontId="10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8" fillId="0" borderId="0" xfId="7" applyNumberFormat="1" applyFont="1">
      <alignment vertical="top"/>
    </xf>
    <xf numFmtId="3" fontId="77" fillId="0" borderId="0" xfId="1" applyNumberFormat="1" applyFont="1">
      <alignment vertical="top"/>
    </xf>
    <xf numFmtId="3" fontId="79" fillId="0" borderId="0" xfId="1" applyNumberFormat="1" applyFont="1">
      <alignment vertical="top"/>
    </xf>
    <xf numFmtId="177" fontId="79" fillId="0" borderId="0" xfId="1" applyNumberFormat="1" applyFont="1">
      <alignment vertical="top"/>
    </xf>
    <xf numFmtId="180" fontId="77" fillId="0" borderId="0" xfId="1" applyNumberFormat="1" applyFont="1">
      <alignment vertical="top"/>
    </xf>
    <xf numFmtId="0" fontId="19" fillId="0" borderId="4" xfId="1" applyFont="1" applyBorder="1" applyAlignment="1">
      <alignment horizontal="left"/>
    </xf>
    <xf numFmtId="0" fontId="19" fillId="0" borderId="5" xfId="1" applyFont="1" applyBorder="1" applyAlignment="1">
      <alignment horizontal="left"/>
    </xf>
    <xf numFmtId="0" fontId="19" fillId="0" borderId="6" xfId="1" applyFont="1" applyBorder="1" applyAlignment="1">
      <alignment horizontal="left"/>
    </xf>
    <xf numFmtId="0" fontId="19" fillId="0" borderId="7" xfId="1" applyFont="1" applyBorder="1" applyAlignment="1">
      <alignment horizontal="left"/>
    </xf>
    <xf numFmtId="0" fontId="19" fillId="0" borderId="8" xfId="1" applyFont="1" applyBorder="1" applyAlignment="1">
      <alignment horizontal="left"/>
    </xf>
    <xf numFmtId="0" fontId="19" fillId="0" borderId="9" xfId="1" applyFont="1" applyBorder="1" applyAlignment="1">
      <alignment horizontal="left"/>
    </xf>
    <xf numFmtId="176" fontId="19" fillId="0" borderId="4" xfId="1" applyNumberFormat="1" applyFont="1" applyBorder="1" applyAlignment="1">
      <alignment horizontal="right"/>
    </xf>
    <xf numFmtId="176" fontId="19" fillId="0" borderId="10" xfId="1" applyNumberFormat="1" applyFont="1" applyBorder="1" applyAlignment="1">
      <alignment horizontal="right" wrapText="1"/>
    </xf>
    <xf numFmtId="176" fontId="19" fillId="0" borderId="10" xfId="1" applyNumberFormat="1" applyFont="1" applyBorder="1" applyAlignment="1">
      <alignment horizontal="right"/>
    </xf>
    <xf numFmtId="176" fontId="19" fillId="0" borderId="6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 wrapText="1"/>
    </xf>
    <xf numFmtId="176" fontId="19" fillId="0" borderId="8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 wrapText="1"/>
    </xf>
    <xf numFmtId="180" fontId="14" fillId="0" borderId="13" xfId="1" applyNumberFormat="1" applyFont="1" applyBorder="1" applyAlignment="1">
      <alignment vertical="center"/>
    </xf>
    <xf numFmtId="180" fontId="14" fillId="0" borderId="1" xfId="1" applyNumberFormat="1" applyFont="1" applyBorder="1" applyAlignment="1">
      <alignment vertical="center"/>
    </xf>
    <xf numFmtId="0" fontId="7" fillId="0" borderId="1" xfId="1" applyFont="1" applyBorder="1">
      <alignment vertical="top"/>
    </xf>
    <xf numFmtId="0" fontId="7" fillId="0" borderId="3" xfId="0" applyFont="1" applyBorder="1">
      <alignment vertical="top"/>
    </xf>
    <xf numFmtId="0" fontId="7" fillId="0" borderId="1" xfId="1" applyFont="1" applyBorder="1" applyAlignment="1">
      <alignment vertical="top"/>
    </xf>
    <xf numFmtId="0" fontId="7" fillId="0" borderId="13" xfId="1" applyFont="1" applyBorder="1" applyAlignment="1">
      <alignment vertical="top"/>
    </xf>
    <xf numFmtId="3" fontId="7" fillId="0" borderId="1" xfId="1" applyNumberFormat="1" applyFont="1" applyBorder="1" applyAlignment="1">
      <alignment horizontal="right" vertical="top" wrapText="1"/>
    </xf>
    <xf numFmtId="2" fontId="7" fillId="0" borderId="1" xfId="1" applyNumberFormat="1" applyFont="1" applyBorder="1" applyAlignment="1">
      <alignment horizontal="right" vertical="top" wrapText="1"/>
    </xf>
    <xf numFmtId="0" fontId="7" fillId="0" borderId="0" xfId="1" applyFont="1" applyAlignment="1">
      <alignment vertical="top"/>
    </xf>
    <xf numFmtId="0" fontId="7" fillId="0" borderId="15" xfId="1" applyFont="1" applyBorder="1" applyAlignment="1">
      <alignment vertical="top"/>
    </xf>
    <xf numFmtId="176" fontId="7" fillId="0" borderId="10" xfId="7" applyNumberFormat="1" applyFont="1" applyBorder="1">
      <alignment vertical="top"/>
    </xf>
    <xf numFmtId="176" fontId="7" fillId="0" borderId="11" xfId="7" applyNumberFormat="1" applyFont="1" applyBorder="1">
      <alignment vertical="top"/>
    </xf>
    <xf numFmtId="176" fontId="7" fillId="0" borderId="12" xfId="7" applyNumberFormat="1" applyFont="1" applyBorder="1">
      <alignment vertical="top"/>
    </xf>
    <xf numFmtId="3" fontId="67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0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9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81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81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1" fillId="0" borderId="1" xfId="7" applyNumberFormat="1" applyFont="1" applyBorder="1" applyAlignment="1">
      <alignment wrapText="1"/>
    </xf>
    <xf numFmtId="177" fontId="81" fillId="8" borderId="1" xfId="7" applyNumberFormat="1" applyFont="1" applyFill="1" applyBorder="1" applyAlignment="1" applyProtection="1">
      <alignment horizontal="right"/>
    </xf>
    <xf numFmtId="0" fontId="22" fillId="0" borderId="1" xfId="13" applyFont="1" applyFill="1" applyBorder="1" applyAlignment="1" applyProtection="1">
      <alignment horizontal="center" wrapText="1"/>
      <protection locked="0"/>
    </xf>
    <xf numFmtId="177" fontId="81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Font="1" applyFill="1" applyBorder="1" applyAlignment="1" applyProtection="1">
      <alignment horizontal="center" vertical="top" wrapText="1"/>
      <protection locked="0"/>
    </xf>
    <xf numFmtId="177" fontId="81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Font="1" applyFill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1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2" fillId="0" borderId="0" xfId="7" applyNumberFormat="1" applyFont="1" applyAlignment="1" applyProtection="1">
      <protection locked="0"/>
    </xf>
    <xf numFmtId="0" fontId="82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2" fillId="0" borderId="0" xfId="7" applyNumberFormat="1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3" fillId="0" borderId="0" xfId="0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77" fontId="22" fillId="0" borderId="0" xfId="7" applyNumberFormat="1" applyFont="1" applyAlignment="1" applyProtection="1">
      <alignment horizontal="center"/>
      <protection locked="0"/>
    </xf>
    <xf numFmtId="177" fontId="84" fillId="0" borderId="0" xfId="7" applyNumberFormat="1" applyFont="1" applyAlignment="1" applyProtection="1">
      <alignment horizontal="right"/>
      <protection locked="0"/>
    </xf>
    <xf numFmtId="0" fontId="19" fillId="0" borderId="13" xfId="0" applyFont="1" applyBorder="1" applyAlignment="1">
      <alignment horizontal="center" vertical="center"/>
    </xf>
    <xf numFmtId="176" fontId="7" fillId="0" borderId="10" xfId="7" applyNumberFormat="1" applyFont="1" applyBorder="1" applyAlignment="1">
      <alignment vertical="top"/>
    </xf>
    <xf numFmtId="176" fontId="7" fillId="0" borderId="11" xfId="7" applyNumberFormat="1" applyFont="1" applyBorder="1" applyAlignment="1">
      <alignment vertical="top"/>
    </xf>
    <xf numFmtId="176" fontId="7" fillId="0" borderId="12" xfId="7" applyNumberFormat="1" applyFont="1" applyBorder="1" applyAlignment="1">
      <alignment vertical="top"/>
    </xf>
    <xf numFmtId="0" fontId="0" fillId="0" borderId="13" xfId="0" applyFont="1" applyBorder="1" applyAlignment="1" applyProtection="1">
      <alignment horizontal="center"/>
      <protection locked="0"/>
    </xf>
    <xf numFmtId="0" fontId="54" fillId="0" borderId="15" xfId="0" applyFont="1" applyBorder="1" applyAlignment="1" applyProtection="1">
      <protection locked="0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182" fontId="7" fillId="0" borderId="10" xfId="0" applyNumberFormat="1" applyFont="1" applyBorder="1" applyAlignment="1">
      <alignment horizontal="right" vertical="top" wrapText="1"/>
    </xf>
    <xf numFmtId="182" fontId="7" fillId="0" borderId="11" xfId="0" applyNumberFormat="1" applyFont="1" applyBorder="1" applyAlignment="1">
      <alignment horizontal="right" vertical="top" wrapText="1"/>
    </xf>
    <xf numFmtId="182" fontId="7" fillId="0" borderId="11" xfId="0" applyNumberFormat="1" applyFont="1" applyBorder="1">
      <alignment vertical="top"/>
    </xf>
    <xf numFmtId="182" fontId="7" fillId="0" borderId="12" xfId="0" applyNumberFormat="1" applyFont="1" applyBorder="1">
      <alignment vertical="top"/>
    </xf>
    <xf numFmtId="0" fontId="7" fillId="0" borderId="1" xfId="0" applyFont="1" applyBorder="1" applyAlignment="1">
      <alignment horizontal="center" vertical="center" wrapText="1" readingOrder="1"/>
    </xf>
    <xf numFmtId="0" fontId="18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0" fillId="0" borderId="0" xfId="7" applyNumberFormat="1" applyFont="1">
      <alignment vertical="top"/>
    </xf>
    <xf numFmtId="180" fontId="10" fillId="0" borderId="0" xfId="7" applyNumberFormat="1" applyFont="1">
      <alignment vertical="top"/>
    </xf>
    <xf numFmtId="0" fontId="85" fillId="0" borderId="0" xfId="0" applyFont="1" applyAlignment="1"/>
    <xf numFmtId="176" fontId="7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7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0" fontId="84" fillId="0" borderId="0" xfId="1" applyFont="1">
      <alignment vertical="top"/>
    </xf>
    <xf numFmtId="177" fontId="84" fillId="0" borderId="0" xfId="7" applyNumberFormat="1" applyFont="1">
      <alignment vertical="top"/>
    </xf>
    <xf numFmtId="0" fontId="7" fillId="0" borderId="6" xfId="1" applyFont="1" applyBorder="1">
      <alignment vertical="top"/>
    </xf>
    <xf numFmtId="0" fontId="7" fillId="0" borderId="0" xfId="1" applyFont="1" applyBorder="1">
      <alignment vertical="top"/>
    </xf>
    <xf numFmtId="177" fontId="10" fillId="0" borderId="0" xfId="7" applyNumberFormat="1" applyFont="1" applyBorder="1">
      <alignment vertical="top"/>
    </xf>
    <xf numFmtId="177" fontId="10" fillId="0" borderId="7" xfId="7" applyNumberFormat="1" applyFont="1" applyBorder="1">
      <alignment vertical="top"/>
    </xf>
    <xf numFmtId="0" fontId="6" fillId="0" borderId="6" xfId="0" applyFont="1" applyBorder="1">
      <alignment vertical="top"/>
    </xf>
    <xf numFmtId="0" fontId="84" fillId="0" borderId="6" xfId="0" applyFont="1" applyBorder="1">
      <alignment vertical="top"/>
    </xf>
    <xf numFmtId="180" fontId="52" fillId="0" borderId="6" xfId="1" applyNumberFormat="1" applyFont="1" applyBorder="1" applyAlignment="1">
      <alignment horizontal="right" vertical="center"/>
    </xf>
    <xf numFmtId="180" fontId="6" fillId="0" borderId="0" xfId="1" applyNumberFormat="1" applyFont="1" applyBorder="1" applyAlignment="1">
      <alignment vertical="center"/>
    </xf>
    <xf numFmtId="180" fontId="52" fillId="0" borderId="0" xfId="1" applyNumberFormat="1" applyFont="1" applyBorder="1" applyAlignment="1">
      <alignment horizontal="right" vertical="center"/>
    </xf>
    <xf numFmtId="180" fontId="52" fillId="0" borderId="6" xfId="1" applyNumberFormat="1" applyFont="1" applyBorder="1" applyAlignment="1">
      <alignment vertical="center"/>
    </xf>
    <xf numFmtId="180" fontId="52" fillId="0" borderId="0" xfId="1" applyNumberFormat="1" applyFont="1" applyBorder="1" applyAlignment="1">
      <alignment vertical="center"/>
    </xf>
    <xf numFmtId="0" fontId="6" fillId="0" borderId="0" xfId="1" applyFont="1">
      <alignment vertical="top"/>
    </xf>
    <xf numFmtId="177" fontId="86" fillId="0" borderId="0" xfId="7" applyNumberFormat="1" applyFont="1">
      <alignment vertical="top"/>
    </xf>
    <xf numFmtId="0" fontId="5" fillId="0" borderId="1" xfId="1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6" fillId="0" borderId="11" xfId="1" applyFont="1" applyBorder="1">
      <alignment vertical="top"/>
    </xf>
    <xf numFmtId="0" fontId="6" fillId="0" borderId="11" xfId="1" applyFont="1" applyBorder="1" applyAlignment="1">
      <alignment vertical="top"/>
    </xf>
    <xf numFmtId="3" fontId="6" fillId="0" borderId="11" xfId="0" applyNumberFormat="1" applyFont="1" applyBorder="1" applyAlignment="1">
      <alignment horizontal="right" vertical="top" wrapText="1"/>
    </xf>
    <xf numFmtId="0" fontId="6" fillId="0" borderId="11" xfId="0" applyFont="1" applyBorder="1" applyAlignment="1">
      <alignment vertical="top"/>
    </xf>
    <xf numFmtId="180" fontId="6" fillId="0" borderId="12" xfId="1" applyNumberFormat="1" applyFont="1" applyBorder="1" applyAlignment="1">
      <alignment horizontal="right" vertical="center"/>
    </xf>
    <xf numFmtId="0" fontId="6" fillId="0" borderId="7" xfId="0" applyFont="1" applyBorder="1">
      <alignment vertical="top"/>
    </xf>
    <xf numFmtId="177" fontId="58" fillId="0" borderId="0" xfId="7" applyNumberFormat="1" applyFont="1" applyBorder="1" applyAlignment="1" applyProtection="1">
      <alignment vertical="center" wrapText="1"/>
    </xf>
    <xf numFmtId="177" fontId="50" fillId="0" borderId="1" xfId="7" applyNumberFormat="1" applyFont="1" applyBorder="1" applyAlignment="1">
      <alignment vertical="center"/>
    </xf>
    <xf numFmtId="177" fontId="26" fillId="0" borderId="0" xfId="7" applyNumberFormat="1" applyFont="1" applyAlignment="1">
      <alignment vertical="center"/>
    </xf>
    <xf numFmtId="177" fontId="6" fillId="0" borderId="0" xfId="7" applyNumberFormat="1" applyFont="1" applyAlignment="1">
      <alignment horizontal="left" vertical="top" indent="1"/>
    </xf>
    <xf numFmtId="177" fontId="19" fillId="0" borderId="0" xfId="7" applyNumberFormat="1" applyFont="1" applyBorder="1" applyAlignment="1">
      <alignment horizontal="left"/>
    </xf>
    <xf numFmtId="177" fontId="7" fillId="0" borderId="11" xfId="7" applyNumberFormat="1" applyFont="1" applyBorder="1">
      <alignment vertical="top"/>
    </xf>
    <xf numFmtId="177" fontId="10" fillId="0" borderId="11" xfId="7" applyNumberFormat="1" applyFont="1" applyBorder="1" applyAlignment="1">
      <alignment vertical="top"/>
    </xf>
    <xf numFmtId="177" fontId="10" fillId="0" borderId="0" xfId="7" applyNumberFormat="1" applyFont="1" applyAlignment="1">
      <alignment vertical="top"/>
    </xf>
    <xf numFmtId="177" fontId="7" fillId="0" borderId="0" xfId="7" applyNumberFormat="1" applyFont="1" applyAlignment="1">
      <alignment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177" fontId="14" fillId="0" borderId="10" xfId="7" applyNumberFormat="1" applyFont="1" applyBorder="1" applyAlignment="1">
      <alignment horizontal="left" wrapText="1"/>
    </xf>
    <xf numFmtId="177" fontId="14" fillId="0" borderId="10" xfId="7" applyNumberFormat="1" applyFont="1" applyBorder="1" applyAlignment="1"/>
    <xf numFmtId="177" fontId="58" fillId="0" borderId="0" xfId="7" applyNumberFormat="1" applyFont="1" applyAlignment="1">
      <alignment vertical="center"/>
    </xf>
    <xf numFmtId="177" fontId="63" fillId="0" borderId="0" xfId="7" applyNumberFormat="1" applyFont="1" applyAlignment="1">
      <alignment vertical="center"/>
    </xf>
    <xf numFmtId="177" fontId="50" fillId="2" borderId="1" xfId="7" applyNumberFormat="1" applyFont="1" applyFill="1" applyBorder="1" applyAlignment="1">
      <alignment vertical="center"/>
    </xf>
    <xf numFmtId="177" fontId="21" fillId="0" borderId="1" xfId="7" applyNumberFormat="1" applyFont="1" applyBorder="1" applyAlignment="1">
      <alignment horizontal="center" vertical="center"/>
    </xf>
    <xf numFmtId="177" fontId="6" fillId="0" borderId="0" xfId="7" applyNumberFormat="1" applyFont="1" applyAlignment="1">
      <alignment horizontal="left" vertical="top"/>
    </xf>
    <xf numFmtId="177" fontId="21" fillId="0" borderId="0" xfId="7" applyNumberFormat="1" applyFont="1" applyBorder="1" applyAlignment="1">
      <alignment horizontal="center" vertical="center"/>
    </xf>
    <xf numFmtId="177" fontId="6" fillId="0" borderId="0" xfId="7" applyNumberFormat="1" applyFont="1" applyAlignment="1">
      <alignment vertical="top"/>
    </xf>
    <xf numFmtId="177" fontId="7" fillId="0" borderId="0" xfId="7" applyNumberFormat="1" applyFont="1" applyBorder="1">
      <alignment vertical="top"/>
    </xf>
    <xf numFmtId="177" fontId="10" fillId="0" borderId="4" xfId="7" applyNumberFormat="1" applyFont="1" applyBorder="1" applyAlignment="1">
      <alignment vertical="top"/>
    </xf>
    <xf numFmtId="177" fontId="6" fillId="0" borderId="13" xfId="7" applyNumberFormat="1" applyFont="1" applyBorder="1" applyAlignment="1">
      <alignment horizontal="center" vertical="top" wrapText="1"/>
    </xf>
    <xf numFmtId="177" fontId="7" fillId="0" borderId="1" xfId="7" applyNumberFormat="1" applyFont="1" applyBorder="1" applyAlignment="1">
      <alignment vertical="top"/>
    </xf>
    <xf numFmtId="177" fontId="10" fillId="0" borderId="8" xfId="7" applyNumberFormat="1" applyFont="1" applyBorder="1" applyAlignment="1">
      <alignment vertical="top"/>
    </xf>
    <xf numFmtId="177" fontId="6" fillId="0" borderId="10" xfId="7" applyNumberFormat="1" applyFont="1" applyBorder="1" applyAlignment="1">
      <alignment horizontal="center" vertical="top" wrapText="1"/>
    </xf>
    <xf numFmtId="177" fontId="6" fillId="0" borderId="12" xfId="7" applyNumberFormat="1" applyFont="1" applyBorder="1" applyAlignment="1">
      <alignment horizontal="center" vertical="top" wrapText="1"/>
    </xf>
    <xf numFmtId="177" fontId="7" fillId="0" borderId="3" xfId="7" applyNumberFormat="1" applyFont="1" applyBorder="1" applyAlignment="1">
      <alignment horizontal="left" vertical="top"/>
    </xf>
    <xf numFmtId="177" fontId="7" fillId="0" borderId="5" xfId="7" applyNumberFormat="1" applyFont="1" applyBorder="1" applyAlignment="1">
      <alignment horizontal="left" vertical="top"/>
    </xf>
    <xf numFmtId="177" fontId="14" fillId="0" borderId="11" xfId="7" applyNumberFormat="1" applyFont="1" applyBorder="1" applyAlignment="1">
      <alignment horizontal="left" wrapText="1" indent="1"/>
    </xf>
    <xf numFmtId="177" fontId="14" fillId="0" borderId="11" xfId="7" applyNumberFormat="1" applyFont="1" applyBorder="1" applyAlignment="1">
      <alignment horizontal="left" wrapText="1"/>
    </xf>
    <xf numFmtId="177" fontId="14" fillId="0" borderId="11" xfId="7" applyNumberFormat="1" applyFont="1" applyBorder="1" applyAlignment="1"/>
    <xf numFmtId="177" fontId="14" fillId="0" borderId="11" xfId="7" applyNumberFormat="1" applyFont="1" applyBorder="1" applyAlignment="1">
      <alignment horizontal="left" wrapText="1" indent="2"/>
    </xf>
    <xf numFmtId="180" fontId="45" fillId="0" borderId="10" xfId="7" applyNumberFormat="1" applyFont="1" applyBorder="1" applyAlignment="1">
      <alignment vertical="top"/>
    </xf>
    <xf numFmtId="180" fontId="45" fillId="0" borderId="10" xfId="1" applyNumberFormat="1" applyFont="1" applyBorder="1" applyAlignment="1">
      <alignment vertical="top"/>
    </xf>
    <xf numFmtId="180" fontId="45" fillId="0" borderId="10" xfId="14" applyNumberFormat="1" applyFont="1" applyBorder="1" applyAlignment="1">
      <alignment vertical="top"/>
    </xf>
    <xf numFmtId="180" fontId="45" fillId="0" borderId="4" xfId="14" applyNumberFormat="1" applyFont="1" applyBorder="1" applyAlignment="1">
      <alignment vertical="top"/>
    </xf>
    <xf numFmtId="180" fontId="10" fillId="0" borderId="5" xfId="1" applyNumberFormat="1" applyBorder="1" applyAlignment="1">
      <alignment vertical="top"/>
    </xf>
    <xf numFmtId="180" fontId="10" fillId="0" borderId="4" xfId="1" applyNumberFormat="1" applyBorder="1" applyAlignment="1">
      <alignment vertical="top"/>
    </xf>
    <xf numFmtId="180" fontId="10" fillId="0" borderId="3" xfId="1" applyNumberFormat="1" applyBorder="1" applyAlignment="1">
      <alignment vertical="top"/>
    </xf>
    <xf numFmtId="180" fontId="45" fillId="0" borderId="11" xfId="7" applyNumberFormat="1" applyFont="1" applyBorder="1" applyAlignment="1">
      <alignment vertical="top"/>
    </xf>
    <xf numFmtId="180" fontId="45" fillId="0" borderId="11" xfId="1" applyNumberFormat="1" applyFont="1" applyBorder="1" applyAlignment="1">
      <alignment vertical="top"/>
    </xf>
    <xf numFmtId="180" fontId="45" fillId="0" borderId="11" xfId="14" applyNumberFormat="1" applyFont="1" applyBorder="1" applyAlignment="1">
      <alignment vertical="top"/>
    </xf>
    <xf numFmtId="180" fontId="45" fillId="0" borderId="6" xfId="14" applyNumberFormat="1" applyFont="1" applyBorder="1" applyAlignment="1">
      <alignment vertical="top"/>
    </xf>
    <xf numFmtId="180" fontId="10" fillId="0" borderId="7" xfId="1" applyNumberFormat="1" applyBorder="1" applyAlignment="1">
      <alignment vertical="top"/>
    </xf>
    <xf numFmtId="180" fontId="10" fillId="0" borderId="6" xfId="1" applyNumberFormat="1" applyBorder="1" applyAlignment="1">
      <alignment vertical="top"/>
    </xf>
    <xf numFmtId="180" fontId="10" fillId="0" borderId="0" xfId="1" applyNumberFormat="1" applyBorder="1" applyAlignment="1">
      <alignment vertical="top"/>
    </xf>
    <xf numFmtId="180" fontId="45" fillId="0" borderId="11" xfId="1" applyNumberFormat="1" applyFont="1" applyBorder="1" applyAlignment="1">
      <alignment horizontal="right" vertical="top" wrapText="1"/>
    </xf>
    <xf numFmtId="180" fontId="45" fillId="0" borderId="11" xfId="14" applyNumberFormat="1" applyFont="1" applyBorder="1" applyAlignment="1">
      <alignment horizontal="right" vertical="top" wrapText="1"/>
    </xf>
    <xf numFmtId="180" fontId="45" fillId="0" borderId="6" xfId="14" applyNumberFormat="1" applyFont="1" applyBorder="1" applyAlignment="1">
      <alignment horizontal="right" vertical="top" wrapText="1"/>
    </xf>
    <xf numFmtId="180" fontId="20" fillId="0" borderId="6" xfId="1" applyNumberFormat="1" applyFont="1" applyBorder="1" applyAlignment="1">
      <alignment horizontal="left" vertical="top" wrapText="1"/>
    </xf>
    <xf numFmtId="180" fontId="20" fillId="0" borderId="0" xfId="1" applyNumberFormat="1" applyFont="1" applyBorder="1" applyAlignment="1">
      <alignment horizontal="left" vertical="top" wrapText="1"/>
    </xf>
    <xf numFmtId="180" fontId="45" fillId="0" borderId="12" xfId="1" applyNumberFormat="1" applyFont="1" applyBorder="1" applyAlignment="1">
      <alignment vertical="top"/>
    </xf>
    <xf numFmtId="180" fontId="45" fillId="0" borderId="12" xfId="1" applyNumberFormat="1" applyFont="1" applyBorder="1" applyAlignment="1">
      <alignment horizontal="right" vertical="top" wrapText="1"/>
    </xf>
    <xf numFmtId="180" fontId="45" fillId="0" borderId="12" xfId="14" applyNumberFormat="1" applyFont="1" applyBorder="1" applyAlignment="1">
      <alignment horizontal="right" vertical="top" wrapText="1"/>
    </xf>
    <xf numFmtId="180" fontId="45" fillId="0" borderId="8" xfId="14" applyNumberFormat="1" applyFont="1" applyBorder="1" applyAlignment="1">
      <alignment horizontal="right" vertical="top" wrapText="1"/>
    </xf>
    <xf numFmtId="180" fontId="10" fillId="0" borderId="9" xfId="1" applyNumberFormat="1" applyBorder="1" applyAlignment="1">
      <alignment vertical="top"/>
    </xf>
    <xf numFmtId="180" fontId="10" fillId="0" borderId="8" xfId="1" applyNumberFormat="1" applyBorder="1" applyAlignment="1">
      <alignment vertical="top"/>
    </xf>
    <xf numFmtId="180" fontId="10" fillId="0" borderId="2" xfId="1" applyNumberFormat="1" applyBorder="1" applyAlignment="1">
      <alignment vertical="top"/>
    </xf>
    <xf numFmtId="177" fontId="7" fillId="0" borderId="11" xfId="7" applyNumberFormat="1" applyFont="1" applyBorder="1" applyAlignment="1">
      <alignment vertical="center" readingOrder="1"/>
    </xf>
    <xf numFmtId="177" fontId="7" fillId="0" borderId="12" xfId="7" applyNumberFormat="1" applyFont="1" applyBorder="1" applyAlignment="1">
      <alignment vertical="center" readingOrder="1"/>
    </xf>
    <xf numFmtId="176" fontId="88" fillId="0" borderId="7" xfId="0" applyNumberFormat="1" applyFont="1" applyBorder="1" applyAlignment="1">
      <alignment horizontal="right" wrapText="1"/>
    </xf>
    <xf numFmtId="3" fontId="21" fillId="0" borderId="6" xfId="0" applyNumberFormat="1" applyFont="1" applyBorder="1" applyAlignment="1">
      <alignment horizontal="right" vertical="top" wrapText="1"/>
    </xf>
    <xf numFmtId="3" fontId="21" fillId="0" borderId="0" xfId="0" applyNumberFormat="1" applyFont="1" applyBorder="1" applyAlignment="1">
      <alignment horizontal="right" vertical="top" wrapText="1"/>
    </xf>
    <xf numFmtId="177" fontId="7" fillId="0" borderId="11" xfId="7" applyNumberFormat="1" applyFont="1" applyBorder="1" applyAlignment="1">
      <alignment vertical="top"/>
    </xf>
    <xf numFmtId="0" fontId="7" fillId="0" borderId="11" xfId="0" applyFont="1" applyBorder="1">
      <alignment vertical="top"/>
    </xf>
    <xf numFmtId="0" fontId="7" fillId="0" borderId="11" xfId="0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center"/>
    </xf>
    <xf numFmtId="183" fontId="7" fillId="0" borderId="11" xfId="0" applyNumberFormat="1" applyFont="1" applyBorder="1" applyAlignment="1">
      <alignment horizontal="right" vertical="center"/>
    </xf>
    <xf numFmtId="0" fontId="14" fillId="0" borderId="11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/>
    </xf>
    <xf numFmtId="0" fontId="14" fillId="0" borderId="12" xfId="1" applyFont="1" applyBorder="1" applyAlignment="1">
      <alignment horizontal="left" vertical="center"/>
    </xf>
    <xf numFmtId="0" fontId="6" fillId="0" borderId="6" xfId="0" applyFont="1" applyBorder="1" applyAlignment="1">
      <alignment vertical="top"/>
    </xf>
    <xf numFmtId="0" fontId="84" fillId="0" borderId="6" xfId="0" applyFont="1" applyBorder="1" applyAlignment="1">
      <alignment vertical="top"/>
    </xf>
    <xf numFmtId="0" fontId="84" fillId="0" borderId="0" xfId="0" applyFont="1" applyBorder="1" applyAlignment="1">
      <alignment vertical="top"/>
    </xf>
    <xf numFmtId="0" fontId="84" fillId="0" borderId="7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177" fontId="6" fillId="0" borderId="0" xfId="7" applyNumberFormat="1" applyFont="1" applyBorder="1" applyAlignment="1">
      <alignment vertical="top"/>
    </xf>
    <xf numFmtId="177" fontId="6" fillId="0" borderId="7" xfId="7" applyNumberFormat="1" applyFont="1" applyBorder="1" applyAlignment="1">
      <alignment vertical="top"/>
    </xf>
    <xf numFmtId="176" fontId="6" fillId="0" borderId="7" xfId="7" applyNumberFormat="1" applyFont="1" applyBorder="1" applyAlignment="1">
      <alignment vertical="top"/>
    </xf>
    <xf numFmtId="176" fontId="6" fillId="0" borderId="0" xfId="0" applyNumberFormat="1" applyFont="1" applyBorder="1" applyAlignment="1">
      <alignment vertical="top"/>
    </xf>
    <xf numFmtId="176" fontId="6" fillId="0" borderId="7" xfId="7" applyNumberFormat="1" applyFont="1" applyBorder="1" applyAlignment="1">
      <alignment horizontal="right" vertical="top"/>
    </xf>
    <xf numFmtId="3" fontId="6" fillId="0" borderId="6" xfId="0" applyNumberFormat="1" applyFont="1" applyBorder="1" applyAlignment="1">
      <alignment horizontal="right" vertical="top"/>
    </xf>
    <xf numFmtId="3" fontId="6" fillId="0" borderId="0" xfId="0" applyNumberFormat="1" applyFont="1" applyBorder="1" applyAlignment="1">
      <alignment horizontal="right" vertical="top"/>
    </xf>
    <xf numFmtId="176" fontId="6" fillId="0" borderId="0" xfId="0" applyNumberFormat="1" applyFont="1" applyBorder="1" applyAlignment="1">
      <alignment horizontal="right" vertical="top"/>
    </xf>
    <xf numFmtId="176" fontId="6" fillId="0" borderId="11" xfId="7" applyNumberFormat="1" applyFont="1" applyBorder="1" applyAlignment="1">
      <alignment horizontal="right" vertical="top"/>
    </xf>
    <xf numFmtId="176" fontId="89" fillId="0" borderId="11" xfId="7" applyNumberFormat="1" applyFont="1" applyBorder="1" applyAlignment="1">
      <alignment vertical="top"/>
    </xf>
    <xf numFmtId="177" fontId="90" fillId="0" borderId="0" xfId="7" applyNumberFormat="1" applyFont="1" applyFill="1">
      <alignment vertical="top"/>
    </xf>
    <xf numFmtId="177" fontId="91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7" fillId="0" borderId="4" xfId="0" applyNumberFormat="1" applyFont="1" applyBorder="1">
      <alignment vertical="top"/>
    </xf>
    <xf numFmtId="0" fontId="6" fillId="0" borderId="16" xfId="0" applyFont="1" applyBorder="1" applyAlignment="1">
      <alignment horizontal="justify" vertical="top" wrapText="1"/>
    </xf>
    <xf numFmtId="176" fontId="89" fillId="0" borderId="11" xfId="7" applyNumberFormat="1" applyFont="1" applyFill="1" applyBorder="1" applyAlignment="1">
      <alignment horizontal="right" vertical="top"/>
    </xf>
    <xf numFmtId="176" fontId="89" fillId="9" borderId="11" xfId="7" applyNumberFormat="1" applyFont="1" applyFill="1" applyBorder="1" applyAlignment="1">
      <alignment horizontal="right" vertical="top"/>
    </xf>
    <xf numFmtId="176" fontId="6" fillId="9" borderId="11" xfId="7" applyNumberFormat="1" applyFont="1" applyFill="1" applyBorder="1" applyAlignment="1">
      <alignment horizontal="right" vertical="top"/>
    </xf>
    <xf numFmtId="176" fontId="89" fillId="9" borderId="11" xfId="7" applyNumberFormat="1" applyFont="1" applyFill="1" applyBorder="1" applyAlignment="1">
      <alignment vertical="top"/>
    </xf>
    <xf numFmtId="176" fontId="89" fillId="9" borderId="12" xfId="7" applyNumberFormat="1" applyFont="1" applyFill="1" applyBorder="1" applyAlignment="1">
      <alignment horizontal="right" vertical="center"/>
    </xf>
    <xf numFmtId="0" fontId="46" fillId="0" borderId="0" xfId="0" applyFont="1" applyFill="1" applyAlignment="1">
      <alignment vertical="top" wrapText="1"/>
    </xf>
    <xf numFmtId="177" fontId="91" fillId="0" borderId="0" xfId="7" applyNumberFormat="1" applyFont="1" applyFill="1">
      <alignment vertical="top"/>
    </xf>
    <xf numFmtId="0" fontId="19" fillId="0" borderId="1" xfId="0" applyFont="1" applyBorder="1" applyAlignment="1">
      <alignment horizontal="center" vertical="center" wrapText="1" readingOrder="1"/>
    </xf>
    <xf numFmtId="0" fontId="19" fillId="0" borderId="1" xfId="0" applyFont="1" applyBorder="1" applyAlignment="1">
      <alignment horizontal="center" vertical="center"/>
    </xf>
    <xf numFmtId="0" fontId="11" fillId="0" borderId="0" xfId="1" applyFont="1" applyAlignment="1">
      <alignment horizontal="center" vertical="top" wrapText="1"/>
    </xf>
    <xf numFmtId="177" fontId="19" fillId="0" borderId="1" xfId="7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top"/>
    </xf>
    <xf numFmtId="177" fontId="6" fillId="0" borderId="0" xfId="7" applyNumberFormat="1" applyFont="1" applyBorder="1" applyAlignment="1">
      <alignment horizontal="left" vertical="top"/>
    </xf>
    <xf numFmtId="177" fontId="6" fillId="0" borderId="7" xfId="7" applyNumberFormat="1" applyFont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177" fontId="1" fillId="0" borderId="0" xfId="7" applyNumberFormat="1" applyFont="1">
      <alignment vertical="top"/>
    </xf>
    <xf numFmtId="0" fontId="1" fillId="0" borderId="0" xfId="1" applyFont="1">
      <alignment vertical="top"/>
    </xf>
    <xf numFmtId="0" fontId="7" fillId="0" borderId="0" xfId="0" applyFont="1" applyAlignment="1"/>
    <xf numFmtId="0" fontId="6" fillId="0" borderId="0" xfId="0" applyFont="1" applyAlignment="1"/>
    <xf numFmtId="177" fontId="6" fillId="0" borderId="0" xfId="7" applyNumberFormat="1" applyFont="1" applyAlignment="1"/>
    <xf numFmtId="0" fontId="6" fillId="0" borderId="18" xfId="0" applyFont="1" applyBorder="1" applyAlignment="1">
      <alignment horizontal="justify" vertical="top" wrapText="1"/>
    </xf>
    <xf numFmtId="0" fontId="46" fillId="0" borderId="1" xfId="0" applyFont="1" applyFill="1" applyBorder="1" applyAlignment="1">
      <alignment vertical="top" wrapText="1"/>
    </xf>
    <xf numFmtId="177" fontId="92" fillId="0" borderId="1" xfId="7" applyNumberFormat="1" applyFont="1" applyFill="1" applyBorder="1" applyAlignment="1">
      <alignment horizontal="center" vertical="top"/>
    </xf>
    <xf numFmtId="177" fontId="91" fillId="0" borderId="1" xfId="7" applyNumberFormat="1" applyFont="1" applyFill="1" applyBorder="1">
      <alignment vertical="top"/>
    </xf>
    <xf numFmtId="180" fontId="93" fillId="0" borderId="1" xfId="7" applyNumberFormat="1" applyFont="1" applyFill="1" applyBorder="1" applyAlignment="1">
      <alignment horizontal="center" vertical="top"/>
    </xf>
    <xf numFmtId="177" fontId="93" fillId="0" borderId="1" xfId="7" applyNumberFormat="1" applyFont="1" applyFill="1" applyBorder="1" applyAlignment="1">
      <alignment horizontal="center" vertical="top"/>
    </xf>
    <xf numFmtId="177" fontId="94" fillId="0" borderId="1" xfId="7" applyNumberFormat="1" applyFont="1" applyFill="1" applyBorder="1" applyAlignment="1">
      <alignment horizontal="center" vertical="top"/>
    </xf>
    <xf numFmtId="0" fontId="0" fillId="0" borderId="1" xfId="0" applyBorder="1">
      <alignment vertical="top"/>
    </xf>
    <xf numFmtId="0" fontId="46" fillId="0" borderId="1" xfId="0" applyFont="1" applyBorder="1" applyAlignment="1">
      <alignment vertical="top" wrapText="1"/>
    </xf>
    <xf numFmtId="180" fontId="46" fillId="10" borderId="1" xfId="7" applyNumberFormat="1" applyFont="1" applyFill="1" applyBorder="1">
      <alignment vertical="top"/>
    </xf>
    <xf numFmtId="0" fontId="53" fillId="0" borderId="1" xfId="0" applyFont="1" applyFill="1" applyBorder="1" applyAlignment="1">
      <alignment vertical="top" wrapText="1"/>
    </xf>
    <xf numFmtId="177" fontId="46" fillId="0" borderId="1" xfId="7" applyNumberFormat="1" applyFont="1" applyBorder="1" applyAlignment="1">
      <alignment vertical="top" wrapText="1"/>
    </xf>
    <xf numFmtId="177" fontId="46" fillId="11" borderId="1" xfId="7" applyNumberFormat="1" applyFont="1" applyFill="1" applyBorder="1" applyAlignment="1">
      <alignment vertical="top" wrapText="1"/>
    </xf>
    <xf numFmtId="180" fontId="46" fillId="11" borderId="1" xfId="7" applyNumberFormat="1" applyFont="1" applyFill="1" applyBorder="1">
      <alignment vertical="top"/>
    </xf>
    <xf numFmtId="0" fontId="46" fillId="4" borderId="1" xfId="0" applyFont="1" applyFill="1" applyBorder="1" applyAlignment="1">
      <alignment vertical="top" wrapText="1"/>
    </xf>
    <xf numFmtId="177" fontId="46" fillId="4" borderId="1" xfId="7" applyNumberFormat="1" applyFont="1" applyFill="1" applyBorder="1" applyAlignment="1">
      <alignment vertical="top" wrapText="1"/>
    </xf>
    <xf numFmtId="180" fontId="46" fillId="4" borderId="1" xfId="7" applyNumberFormat="1" applyFont="1" applyFill="1" applyBorder="1">
      <alignment vertical="top"/>
    </xf>
    <xf numFmtId="0" fontId="47" fillId="0" borderId="0" xfId="7" applyNumberFormat="1" applyFont="1" applyAlignment="1">
      <alignment horizontal="left" vertical="top"/>
    </xf>
    <xf numFmtId="0" fontId="6" fillId="0" borderId="0" xfId="7" applyNumberFormat="1" applyFont="1" applyAlignment="1">
      <alignment horizontal="left" vertical="top"/>
    </xf>
    <xf numFmtId="182" fontId="7" fillId="0" borderId="10" xfId="0" applyNumberFormat="1" applyFont="1" applyBorder="1" applyAlignment="1">
      <alignment horizontal="right" vertical="top"/>
    </xf>
    <xf numFmtId="182" fontId="7" fillId="0" borderId="11" xfId="0" applyNumberFormat="1" applyFont="1" applyBorder="1" applyAlignment="1">
      <alignment horizontal="right" vertical="top"/>
    </xf>
    <xf numFmtId="182" fontId="7" fillId="0" borderId="12" xfId="0" applyNumberFormat="1" applyFont="1" applyBorder="1" applyAlignment="1">
      <alignment vertical="top"/>
    </xf>
    <xf numFmtId="0" fontId="84" fillId="0" borderId="9" xfId="0" applyFont="1" applyFill="1" applyBorder="1" applyAlignment="1">
      <alignment vertical="top"/>
    </xf>
    <xf numFmtId="180" fontId="52" fillId="0" borderId="8" xfId="1" applyNumberFormat="1" applyFont="1" applyFill="1" applyBorder="1" applyAlignment="1">
      <alignment horizontal="right" vertical="center"/>
    </xf>
    <xf numFmtId="180" fontId="6" fillId="0" borderId="2" xfId="1" applyNumberFormat="1" applyFont="1" applyFill="1" applyBorder="1" applyAlignment="1">
      <alignment vertical="center"/>
    </xf>
    <xf numFmtId="180" fontId="52" fillId="0" borderId="2" xfId="1" applyNumberFormat="1" applyFont="1" applyFill="1" applyBorder="1" applyAlignment="1">
      <alignment horizontal="right" vertical="center"/>
    </xf>
    <xf numFmtId="176" fontId="6" fillId="0" borderId="9" xfId="7" applyNumberFormat="1" applyFont="1" applyFill="1" applyBorder="1" applyAlignment="1">
      <alignment vertical="top"/>
    </xf>
    <xf numFmtId="3" fontId="6" fillId="0" borderId="8" xfId="0" applyNumberFormat="1" applyFont="1" applyFill="1" applyBorder="1" applyAlignment="1">
      <alignment horizontal="right" vertical="top"/>
    </xf>
    <xf numFmtId="3" fontId="6" fillId="0" borderId="2" xfId="0" applyNumberFormat="1" applyFont="1" applyFill="1" applyBorder="1" applyAlignment="1">
      <alignment horizontal="right" vertical="top"/>
    </xf>
    <xf numFmtId="176" fontId="6" fillId="0" borderId="2" xfId="0" applyNumberFormat="1" applyFont="1" applyFill="1" applyBorder="1" applyAlignment="1">
      <alignment horizontal="right" vertical="top"/>
    </xf>
    <xf numFmtId="0" fontId="1" fillId="0" borderId="0" xfId="1" applyFont="1" applyFill="1">
      <alignment vertical="top"/>
    </xf>
    <xf numFmtId="177" fontId="6" fillId="12" borderId="5" xfId="7" applyNumberFormat="1" applyFont="1" applyFill="1" applyBorder="1">
      <alignment vertical="top"/>
    </xf>
    <xf numFmtId="3" fontId="21" fillId="12" borderId="4" xfId="0" applyNumberFormat="1" applyFont="1" applyFill="1" applyBorder="1" applyAlignment="1">
      <alignment horizontal="right" vertical="top" wrapText="1"/>
    </xf>
    <xf numFmtId="3" fontId="21" fillId="12" borderId="3" xfId="0" applyNumberFormat="1" applyFont="1" applyFill="1" applyBorder="1" applyAlignment="1">
      <alignment horizontal="right" vertical="top" wrapText="1"/>
    </xf>
    <xf numFmtId="176" fontId="6" fillId="12" borderId="5" xfId="7" applyNumberFormat="1" applyFont="1" applyFill="1" applyBorder="1" applyAlignment="1">
      <alignment horizontal="right" vertical="top"/>
    </xf>
    <xf numFmtId="3" fontId="6" fillId="12" borderId="4" xfId="0" applyNumberFormat="1" applyFont="1" applyFill="1" applyBorder="1" applyAlignment="1">
      <alignment horizontal="right" vertical="top"/>
    </xf>
    <xf numFmtId="3" fontId="6" fillId="12" borderId="3" xfId="0" applyNumberFormat="1" applyFont="1" applyFill="1" applyBorder="1" applyAlignment="1">
      <alignment horizontal="right" vertical="top"/>
    </xf>
    <xf numFmtId="176" fontId="6" fillId="12" borderId="3" xfId="0" applyNumberFormat="1" applyFont="1" applyFill="1" applyBorder="1" applyAlignment="1">
      <alignment horizontal="right" vertical="top"/>
    </xf>
    <xf numFmtId="177" fontId="1" fillId="12" borderId="0" xfId="7" applyNumberFormat="1" applyFont="1" applyFill="1">
      <alignment vertical="top"/>
    </xf>
    <xf numFmtId="0" fontId="6" fillId="12" borderId="6" xfId="0" applyFont="1" applyFill="1" applyBorder="1" applyAlignment="1">
      <alignment horizontal="left" vertical="top" wrapText="1"/>
    </xf>
    <xf numFmtId="3" fontId="21" fillId="12" borderId="6" xfId="0" applyNumberFormat="1" applyFont="1" applyFill="1" applyBorder="1" applyAlignment="1">
      <alignment horizontal="right" vertical="top" wrapText="1"/>
    </xf>
    <xf numFmtId="3" fontId="21" fillId="12" borderId="0" xfId="0" applyNumberFormat="1" applyFont="1" applyFill="1" applyBorder="1" applyAlignment="1">
      <alignment horizontal="right" vertical="top" wrapText="1"/>
    </xf>
    <xf numFmtId="176" fontId="6" fillId="12" borderId="7" xfId="7" applyNumberFormat="1" applyFont="1" applyFill="1" applyBorder="1" applyAlignment="1">
      <alignment horizontal="right" vertical="top"/>
    </xf>
    <xf numFmtId="3" fontId="6" fillId="12" borderId="6" xfId="0" applyNumberFormat="1" applyFont="1" applyFill="1" applyBorder="1" applyAlignment="1">
      <alignment horizontal="right" vertical="top"/>
    </xf>
    <xf numFmtId="3" fontId="6" fillId="12" borderId="0" xfId="0" applyNumberFormat="1" applyFont="1" applyFill="1" applyBorder="1" applyAlignment="1">
      <alignment horizontal="right" vertical="top"/>
    </xf>
    <xf numFmtId="176" fontId="6" fillId="12" borderId="0" xfId="0" applyNumberFormat="1" applyFont="1" applyFill="1" applyBorder="1" applyAlignment="1">
      <alignment horizontal="right" vertical="top"/>
    </xf>
    <xf numFmtId="0" fontId="6" fillId="12" borderId="6" xfId="0" applyFont="1" applyFill="1" applyBorder="1" applyAlignment="1">
      <alignment vertical="top"/>
    </xf>
    <xf numFmtId="0" fontId="84" fillId="12" borderId="6" xfId="0" applyFont="1" applyFill="1" applyBorder="1" applyAlignment="1">
      <alignment vertical="top"/>
    </xf>
    <xf numFmtId="0" fontId="1" fillId="12" borderId="0" xfId="1" applyFont="1" applyFill="1">
      <alignment vertical="top"/>
    </xf>
    <xf numFmtId="0" fontId="6" fillId="12" borderId="0" xfId="0" applyFont="1" applyFill="1" applyBorder="1" applyAlignment="1">
      <alignment vertical="top"/>
    </xf>
    <xf numFmtId="177" fontId="6" fillId="12" borderId="0" xfId="7" applyNumberFormat="1" applyFont="1" applyFill="1" applyBorder="1" applyAlignment="1">
      <alignment vertical="top"/>
    </xf>
    <xf numFmtId="177" fontId="6" fillId="12" borderId="7" xfId="7" applyNumberFormat="1" applyFont="1" applyFill="1" applyBorder="1" applyAlignment="1">
      <alignment vertical="top"/>
    </xf>
    <xf numFmtId="0" fontId="84" fillId="12" borderId="0" xfId="0" applyFont="1" applyFill="1" applyBorder="1" applyAlignment="1">
      <alignment vertical="top"/>
    </xf>
    <xf numFmtId="176" fontId="6" fillId="12" borderId="7" xfId="7" applyNumberFormat="1" applyFont="1" applyFill="1" applyBorder="1" applyAlignment="1">
      <alignment vertical="top"/>
    </xf>
    <xf numFmtId="176" fontId="6" fillId="12" borderId="0" xfId="0" applyNumberFormat="1" applyFont="1" applyFill="1" applyBorder="1" applyAlignment="1">
      <alignment vertical="top"/>
    </xf>
    <xf numFmtId="177" fontId="84" fillId="12" borderId="7" xfId="7" applyNumberFormat="1" applyFont="1" applyFill="1" applyBorder="1" applyAlignment="1">
      <alignment vertical="top"/>
    </xf>
    <xf numFmtId="0" fontId="6" fillId="12" borderId="0" xfId="0" applyFont="1" applyFill="1" applyBorder="1" applyAlignment="1">
      <alignment horizontal="left" vertical="top"/>
    </xf>
    <xf numFmtId="177" fontId="6" fillId="12" borderId="0" xfId="7" applyNumberFormat="1" applyFont="1" applyFill="1" applyBorder="1" applyAlignment="1">
      <alignment horizontal="left" vertical="top"/>
    </xf>
    <xf numFmtId="177" fontId="6" fillId="12" borderId="7" xfId="7" applyNumberFormat="1" applyFont="1" applyFill="1" applyBorder="1" applyAlignment="1">
      <alignment horizontal="left" vertical="top"/>
    </xf>
    <xf numFmtId="0" fontId="21" fillId="0" borderId="3" xfId="0" applyFont="1" applyBorder="1" applyAlignment="1">
      <alignment horizontal="center" vertical="center"/>
    </xf>
    <xf numFmtId="0" fontId="6" fillId="0" borderId="2" xfId="0" applyFont="1" applyBorder="1" applyAlignment="1"/>
    <xf numFmtId="3" fontId="95" fillId="0" borderId="0" xfId="0" applyNumberFormat="1" applyFont="1" applyAlignment="1">
      <alignment horizontal="right" vertical="top"/>
    </xf>
    <xf numFmtId="0" fontId="96" fillId="0" borderId="0" xfId="0" applyFont="1" applyAlignment="1">
      <alignment horizontal="left" vertical="top" wrapText="1" readingOrder="1"/>
    </xf>
    <xf numFmtId="3" fontId="2" fillId="0" borderId="0" xfId="0" applyNumberFormat="1" applyFont="1" applyAlignment="1">
      <alignment horizontal="right" vertical="top"/>
    </xf>
    <xf numFmtId="3" fontId="0" fillId="0" borderId="0" xfId="0" applyNumberFormat="1">
      <alignment vertical="top"/>
    </xf>
    <xf numFmtId="0" fontId="6" fillId="0" borderId="6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6" fillId="0" borderId="7" xfId="0" applyFont="1" applyFill="1" applyBorder="1" applyAlignment="1">
      <alignment horizontal="left" vertical="top"/>
    </xf>
    <xf numFmtId="3" fontId="21" fillId="0" borderId="6" xfId="0" applyNumberFormat="1" applyFont="1" applyFill="1" applyBorder="1" applyAlignment="1">
      <alignment horizontal="right" vertical="top" wrapText="1"/>
    </xf>
    <xf numFmtId="3" fontId="21" fillId="0" borderId="0" xfId="0" applyNumberFormat="1" applyFont="1" applyFill="1" applyBorder="1" applyAlignment="1">
      <alignment horizontal="right" vertical="top" wrapText="1"/>
    </xf>
    <xf numFmtId="176" fontId="6" fillId="0" borderId="7" xfId="7" applyNumberFormat="1" applyFont="1" applyFill="1" applyBorder="1" applyAlignment="1">
      <alignment horizontal="right" vertical="top"/>
    </xf>
    <xf numFmtId="3" fontId="6" fillId="0" borderId="6" xfId="0" applyNumberFormat="1" applyFont="1" applyFill="1" applyBorder="1" applyAlignment="1">
      <alignment horizontal="right" vertical="top"/>
    </xf>
    <xf numFmtId="3" fontId="6" fillId="0" borderId="0" xfId="0" applyNumberFormat="1" applyFont="1" applyFill="1" applyBorder="1" applyAlignment="1">
      <alignment horizontal="right" vertical="top"/>
    </xf>
    <xf numFmtId="176" fontId="6" fillId="0" borderId="0" xfId="0" applyNumberFormat="1" applyFont="1" applyFill="1" applyBorder="1" applyAlignment="1">
      <alignment horizontal="right" vertical="top"/>
    </xf>
    <xf numFmtId="177" fontId="1" fillId="0" borderId="0" xfId="7" applyNumberFormat="1" applyFont="1" applyFill="1">
      <alignment vertical="top"/>
    </xf>
    <xf numFmtId="0" fontId="3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vertical="top"/>
    </xf>
    <xf numFmtId="0" fontId="39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39" fillId="0" borderId="0" xfId="0" applyFont="1" applyAlignment="1">
      <alignment vertical="top"/>
    </xf>
    <xf numFmtId="0" fontId="6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6" fillId="0" borderId="22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180" fontId="46" fillId="4" borderId="13" xfId="7" applyNumberFormat="1" applyFont="1" applyFill="1" applyBorder="1" applyAlignment="1">
      <alignment horizontal="center" vertical="top" wrapText="1"/>
    </xf>
    <xf numFmtId="180" fontId="46" fillId="4" borderId="14" xfId="7" applyNumberFormat="1" applyFont="1" applyFill="1" applyBorder="1" applyAlignment="1">
      <alignment horizontal="center" vertical="top" wrapText="1"/>
    </xf>
    <xf numFmtId="180" fontId="92" fillId="0" borderId="1" xfId="7" applyNumberFormat="1" applyFont="1" applyFill="1" applyBorder="1" applyAlignment="1">
      <alignment horizontal="center" vertical="top"/>
    </xf>
    <xf numFmtId="0" fontId="6" fillId="0" borderId="25" xfId="0" applyFont="1" applyBorder="1" applyAlignment="1">
      <alignment horizontal="justify" vertical="top" wrapText="1"/>
    </xf>
    <xf numFmtId="0" fontId="6" fillId="0" borderId="23" xfId="0" applyFont="1" applyBorder="1" applyAlignment="1">
      <alignment horizontal="justify" vertical="top" wrapText="1"/>
    </xf>
    <xf numFmtId="0" fontId="6" fillId="0" borderId="24" xfId="0" applyFont="1" applyBorder="1" applyAlignment="1">
      <alignment horizontal="justify" vertical="top" wrapText="1"/>
    </xf>
    <xf numFmtId="0" fontId="98" fillId="0" borderId="0" xfId="0" applyFont="1" applyAlignment="1">
      <alignment horizontal="right" vertical="top"/>
    </xf>
    <xf numFmtId="0" fontId="97" fillId="0" borderId="0" xfId="0" applyFont="1" applyAlignment="1">
      <alignment horizontal="center" vertical="top"/>
    </xf>
    <xf numFmtId="0" fontId="15" fillId="0" borderId="0" xfId="0" applyFont="1" applyAlignment="1">
      <alignment horizontal="center" vertical="top" wrapText="1" readingOrder="1"/>
    </xf>
    <xf numFmtId="0" fontId="2" fillId="0" borderId="0" xfId="0" applyFont="1" applyAlignment="1">
      <alignment horizontal="left" vertical="top" wrapText="1" readingOrder="1"/>
    </xf>
    <xf numFmtId="3" fontId="15" fillId="0" borderId="0" xfId="0" applyNumberFormat="1" applyFont="1" applyAlignment="1">
      <alignment horizontal="right" vertical="top"/>
    </xf>
    <xf numFmtId="3" fontId="95" fillId="0" borderId="0" xfId="0" applyNumberFormat="1" applyFont="1" applyAlignment="1">
      <alignment horizontal="right" vertical="top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 readingOrder="1"/>
    </xf>
    <xf numFmtId="0" fontId="19" fillId="0" borderId="12" xfId="0" applyFont="1" applyBorder="1" applyAlignment="1">
      <alignment horizontal="center" vertical="center" wrapText="1" readingOrder="1"/>
    </xf>
    <xf numFmtId="0" fontId="14" fillId="0" borderId="0" xfId="1" applyFont="1" applyAlignment="1">
      <alignment horizontal="right" vertical="top" wrapText="1"/>
    </xf>
    <xf numFmtId="0" fontId="12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 vertical="top" wrapText="1" readingOrder="1"/>
    </xf>
    <xf numFmtId="0" fontId="11" fillId="0" borderId="0" xfId="1" applyFont="1" applyAlignment="1">
      <alignment horizontal="center" vertical="top" wrapText="1"/>
    </xf>
    <xf numFmtId="0" fontId="19" fillId="0" borderId="4" xfId="0" applyFont="1" applyBorder="1" applyAlignment="1">
      <alignment horizontal="center" vertical="center" wrapText="1" readingOrder="1"/>
    </xf>
    <xf numFmtId="0" fontId="19" fillId="0" borderId="3" xfId="0" applyFont="1" applyBorder="1" applyAlignment="1">
      <alignment horizontal="center" vertical="center" wrapText="1" readingOrder="1"/>
    </xf>
    <xf numFmtId="0" fontId="19" fillId="0" borderId="5" xfId="0" applyFont="1" applyBorder="1" applyAlignment="1">
      <alignment horizontal="center" vertical="center" wrapText="1" readingOrder="1"/>
    </xf>
    <xf numFmtId="0" fontId="19" fillId="0" borderId="8" xfId="0" applyFont="1" applyBorder="1" applyAlignment="1">
      <alignment horizontal="center" vertical="center" wrapText="1" readingOrder="1"/>
    </xf>
    <xf numFmtId="0" fontId="19" fillId="0" borderId="2" xfId="0" applyFont="1" applyBorder="1" applyAlignment="1">
      <alignment horizontal="center" vertical="center" wrapText="1" readingOrder="1"/>
    </xf>
    <xf numFmtId="0" fontId="19" fillId="0" borderId="9" xfId="0" applyFont="1" applyBorder="1" applyAlignment="1">
      <alignment horizontal="center" vertical="center" wrapText="1" readingOrder="1"/>
    </xf>
    <xf numFmtId="176" fontId="7" fillId="0" borderId="4" xfId="0" applyNumberFormat="1" applyFont="1" applyBorder="1" applyAlignment="1">
      <alignment vertical="top" wrapText="1" readingOrder="1"/>
    </xf>
    <xf numFmtId="176" fontId="7" fillId="0" borderId="5" xfId="0" applyNumberFormat="1" applyFont="1" applyBorder="1" applyAlignment="1">
      <alignment vertical="top" wrapText="1" readingOrder="1"/>
    </xf>
    <xf numFmtId="176" fontId="7" fillId="0" borderId="6" xfId="0" applyNumberFormat="1" applyFont="1" applyBorder="1" applyAlignment="1">
      <alignment vertical="top" wrapText="1"/>
    </xf>
    <xf numFmtId="176" fontId="7" fillId="0" borderId="7" xfId="0" applyNumberFormat="1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 readingOrder="1"/>
    </xf>
    <xf numFmtId="0" fontId="4" fillId="0" borderId="0" xfId="0" applyFont="1" applyAlignment="1">
      <alignment horizontal="center" vertical="top" wrapText="1" readingOrder="1"/>
    </xf>
    <xf numFmtId="0" fontId="5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 readingOrder="1"/>
    </xf>
    <xf numFmtId="0" fontId="7" fillId="0" borderId="15" xfId="0" applyFont="1" applyBorder="1" applyAlignment="1">
      <alignment horizontal="center" vertical="center" wrapText="1" readingOrder="1"/>
    </xf>
    <xf numFmtId="0" fontId="7" fillId="0" borderId="14" xfId="0" applyFont="1" applyBorder="1" applyAlignment="1">
      <alignment horizontal="center" vertical="center" wrapText="1" readingOrder="1"/>
    </xf>
    <xf numFmtId="176" fontId="7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0" fontId="7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176" fontId="7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0" fontId="7" fillId="0" borderId="0" xfId="0" applyFont="1" applyAlignment="1">
      <alignment horizontal="left" vertical="top" wrapText="1"/>
    </xf>
    <xf numFmtId="3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 wrapText="1" readingOrder="1"/>
    </xf>
    <xf numFmtId="0" fontId="6" fillId="0" borderId="15" xfId="1" applyFont="1" applyBorder="1" applyAlignment="1">
      <alignment horizontal="center" vertical="center" wrapText="1" readingOrder="1"/>
    </xf>
    <xf numFmtId="0" fontId="6" fillId="0" borderId="14" xfId="1" applyFont="1" applyBorder="1" applyAlignment="1">
      <alignment horizontal="center" vertical="center" wrapText="1" readingOrder="1"/>
    </xf>
    <xf numFmtId="0" fontId="6" fillId="0" borderId="10" xfId="1" applyFont="1" applyBorder="1" applyAlignment="1">
      <alignment horizontal="center" vertical="center" wrapText="1" readingOrder="1"/>
    </xf>
    <xf numFmtId="0" fontId="6" fillId="0" borderId="11" xfId="1" applyFont="1" applyBorder="1" applyAlignment="1">
      <alignment horizontal="center" vertical="center" wrapText="1" readingOrder="1"/>
    </xf>
    <xf numFmtId="0" fontId="6" fillId="0" borderId="12" xfId="1" applyFont="1" applyBorder="1" applyAlignment="1">
      <alignment horizontal="center" vertical="center" wrapText="1" readingOrder="1"/>
    </xf>
    <xf numFmtId="0" fontId="6" fillId="0" borderId="13" xfId="1" applyFont="1" applyBorder="1" applyAlignment="1">
      <alignment horizontal="center" vertical="center" wrapText="1" readingOrder="1"/>
    </xf>
    <xf numFmtId="0" fontId="12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8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6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6" fillId="0" borderId="13" xfId="1" applyFont="1" applyBorder="1" applyAlignment="1">
      <alignment horizontal="center" vertical="center" readingOrder="1"/>
    </xf>
    <xf numFmtId="0" fontId="6" fillId="0" borderId="15" xfId="1" applyFont="1" applyBorder="1" applyAlignment="1">
      <alignment horizontal="center" vertical="center" readingOrder="1"/>
    </xf>
    <xf numFmtId="0" fontId="6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8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19" fillId="0" borderId="1" xfId="0" applyFont="1" applyBorder="1" applyAlignment="1">
      <alignment horizontal="center" vertical="center" wrapText="1"/>
    </xf>
    <xf numFmtId="0" fontId="73" fillId="0" borderId="1" xfId="0" applyFont="1" applyBorder="1" applyAlignment="1">
      <alignment horizontal="center" vertical="center"/>
    </xf>
    <xf numFmtId="0" fontId="6" fillId="0" borderId="0" xfId="1" applyFont="1" applyAlignment="1">
      <alignment horizontal="center" vertical="top" wrapText="1" readingOrder="1"/>
    </xf>
    <xf numFmtId="0" fontId="4" fillId="0" borderId="0" xfId="1" applyFont="1" applyAlignment="1">
      <alignment horizontal="center" vertical="top" wrapText="1" readingOrder="1"/>
    </xf>
    <xf numFmtId="0" fontId="19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0" fillId="0" borderId="1" xfId="0" applyBorder="1" applyAlignment="1">
      <alignment vertical="center"/>
    </xf>
    <xf numFmtId="0" fontId="2" fillId="0" borderId="0" xfId="1" applyFont="1" applyAlignment="1">
      <alignment horizontal="right" vertical="top" wrapText="1"/>
    </xf>
    <xf numFmtId="0" fontId="7" fillId="0" borderId="1" xfId="0" applyFont="1" applyBorder="1" applyAlignment="1">
      <alignment vertical="center"/>
    </xf>
    <xf numFmtId="0" fontId="6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2" fillId="0" borderId="0" xfId="0" applyFont="1" applyAlignment="1">
      <alignment horizontal="left" vertical="top" wrapText="1"/>
    </xf>
    <xf numFmtId="3" fontId="23" fillId="0" borderId="0" xfId="3" applyNumberFormat="1" applyFont="1" applyAlignment="1">
      <alignment horizontal="center"/>
    </xf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Border="1" applyAlignment="1">
      <alignment horizontal="center"/>
    </xf>
    <xf numFmtId="0" fontId="6" fillId="0" borderId="0" xfId="0" applyFont="1" applyAlignment="1"/>
    <xf numFmtId="0" fontId="62" fillId="0" borderId="0" xfId="0" applyFont="1" applyAlignment="1">
      <alignment vertical="top" wrapText="1"/>
    </xf>
    <xf numFmtId="0" fontId="62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6" xfId="0" applyFont="1" applyBorder="1" applyAlignment="1">
      <alignment horizontal="left" vertical="top" readingOrder="1"/>
    </xf>
    <xf numFmtId="0" fontId="6" fillId="0" borderId="0" xfId="0" applyFont="1" applyBorder="1" applyAlignment="1">
      <alignment horizontal="left" vertical="top" readingOrder="1"/>
    </xf>
    <xf numFmtId="0" fontId="6" fillId="0" borderId="8" xfId="0" applyFont="1" applyFill="1" applyBorder="1" applyAlignment="1">
      <alignment horizontal="left" vertical="top" readingOrder="1"/>
    </xf>
    <xf numFmtId="0" fontId="6" fillId="0" borderId="2" xfId="0" applyFont="1" applyFill="1" applyBorder="1" applyAlignment="1">
      <alignment horizontal="left" vertical="top" readingOrder="1"/>
    </xf>
    <xf numFmtId="0" fontId="6" fillId="12" borderId="6" xfId="0" applyFont="1" applyFill="1" applyBorder="1" applyAlignment="1">
      <alignment horizontal="left" vertical="top"/>
    </xf>
    <xf numFmtId="0" fontId="6" fillId="12" borderId="0" xfId="0" applyFont="1" applyFill="1" applyBorder="1" applyAlignment="1">
      <alignment horizontal="left" vertical="top"/>
    </xf>
    <xf numFmtId="0" fontId="6" fillId="12" borderId="7" xfId="0" applyFont="1" applyFill="1" applyBorder="1" applyAlignment="1">
      <alignment horizontal="left" vertical="top"/>
    </xf>
    <xf numFmtId="0" fontId="6" fillId="12" borderId="6" xfId="0" applyFont="1" applyFill="1" applyBorder="1" applyAlignment="1">
      <alignment horizontal="left" vertical="top" readingOrder="1"/>
    </xf>
    <xf numFmtId="0" fontId="6" fillId="12" borderId="0" xfId="0" applyFont="1" applyFill="1" applyBorder="1" applyAlignment="1">
      <alignment horizontal="left" vertical="top" readingOrder="1"/>
    </xf>
    <xf numFmtId="177" fontId="6" fillId="12" borderId="0" xfId="7" applyNumberFormat="1" applyFont="1" applyFill="1" applyBorder="1" applyAlignment="1">
      <alignment horizontal="left" vertical="top" readingOrder="1"/>
    </xf>
    <xf numFmtId="0" fontId="5" fillId="0" borderId="13" xfId="1" applyFont="1" applyBorder="1" applyAlignment="1">
      <alignment horizontal="center" vertical="center" wrapText="1" readingOrder="1"/>
    </xf>
    <xf numFmtId="0" fontId="5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12" borderId="4" xfId="0" applyFont="1" applyFill="1" applyBorder="1" applyAlignment="1">
      <alignment horizontal="left" vertical="top" wrapText="1"/>
    </xf>
    <xf numFmtId="0" fontId="6" fillId="12" borderId="3" xfId="0" applyFont="1" applyFill="1" applyBorder="1" applyAlignment="1">
      <alignment horizontal="left" vertical="top" wrapText="1"/>
    </xf>
    <xf numFmtId="177" fontId="5" fillId="0" borderId="1" xfId="7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 readingOrder="1"/>
    </xf>
    <xf numFmtId="0" fontId="6" fillId="0" borderId="6" xfId="0" applyFont="1" applyBorder="1" applyAlignment="1">
      <alignment horizontal="left" vertical="top" wrapText="1" readingOrder="1"/>
    </xf>
    <xf numFmtId="0" fontId="6" fillId="0" borderId="0" xfId="0" applyFont="1" applyBorder="1" applyAlignment="1">
      <alignment horizontal="left" vertical="top" wrapText="1" readingOrder="1"/>
    </xf>
    <xf numFmtId="0" fontId="6" fillId="0" borderId="7" xfId="0" applyFont="1" applyBorder="1" applyAlignment="1">
      <alignment horizontal="left" vertical="top" wrapText="1" readingOrder="1"/>
    </xf>
    <xf numFmtId="0" fontId="6" fillId="0" borderId="12" xfId="0" applyFont="1" applyBorder="1" applyAlignment="1">
      <alignment horizontal="left" vertical="top" wrapText="1" readingOrder="1"/>
    </xf>
    <xf numFmtId="0" fontId="6" fillId="0" borderId="8" xfId="0" applyFont="1" applyBorder="1" applyAlignment="1">
      <alignment horizontal="left" vertical="top" wrapText="1" readingOrder="1"/>
    </xf>
    <xf numFmtId="0" fontId="6" fillId="0" borderId="2" xfId="0" applyFont="1" applyBorder="1" applyAlignment="1">
      <alignment horizontal="left" vertical="top" wrapText="1" readingOrder="1"/>
    </xf>
    <xf numFmtId="0" fontId="6" fillId="0" borderId="9" xfId="0" applyFont="1" applyBorder="1" applyAlignment="1">
      <alignment horizontal="left" vertical="top" wrapText="1" readingOrder="1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7" fillId="0" borderId="10" xfId="1" applyFont="1" applyBorder="1" applyAlignment="1">
      <alignment horizontal="center" vertical="center" wrapText="1" readingOrder="1"/>
    </xf>
    <xf numFmtId="0" fontId="15" fillId="0" borderId="1" xfId="1" applyFont="1" applyBorder="1" applyAlignment="1">
      <alignment horizontal="center" vertical="center" wrapText="1" readingOrder="1"/>
    </xf>
    <xf numFmtId="0" fontId="7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2" xfId="1" applyFont="1" applyBorder="1" applyAlignment="1">
      <alignment horizontal="right" vertical="top" wrapText="1" readingOrder="1"/>
    </xf>
    <xf numFmtId="0" fontId="7" fillId="0" borderId="4" xfId="1" applyFont="1" applyBorder="1" applyAlignment="1">
      <alignment horizontal="center" vertical="center" wrapText="1" readingOrder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3" fillId="0" borderId="1" xfId="1" applyFont="1" applyBorder="1" applyAlignment="1">
      <alignment horizontal="center" vertical="center" wrapText="1" readingOrder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177" fontId="7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180" fontId="7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7" fillId="0" borderId="4" xfId="1" applyNumberFormat="1" applyFont="1" applyBorder="1" applyAlignment="1">
      <alignment vertical="top" wrapText="1"/>
    </xf>
    <xf numFmtId="180" fontId="7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7" fillId="0" borderId="6" xfId="1" applyNumberFormat="1" applyFont="1" applyBorder="1" applyAlignment="1">
      <alignment vertical="top" wrapText="1"/>
    </xf>
    <xf numFmtId="180" fontId="7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7" fillId="0" borderId="8" xfId="1" applyNumberFormat="1" applyFont="1" applyBorder="1" applyAlignment="1">
      <alignment vertical="top" wrapText="1"/>
    </xf>
    <xf numFmtId="177" fontId="70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1" fillId="0" borderId="0" xfId="1" applyFont="1" applyAlignment="1">
      <alignment horizontal="center" vertical="top" wrapText="1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6" fillId="0" borderId="7" xfId="1" applyFont="1" applyBorder="1" applyAlignment="1">
      <alignment horizontal="center" vertical="top" wrapText="1" readingOrder="1"/>
    </xf>
    <xf numFmtId="0" fontId="6" fillId="0" borderId="9" xfId="1" applyFont="1" applyBorder="1" applyAlignment="1">
      <alignment horizontal="center" vertical="top" wrapText="1" readingOrder="1"/>
    </xf>
    <xf numFmtId="0" fontId="76" fillId="0" borderId="0" xfId="1" applyFont="1" applyAlignment="1">
      <alignment horizontal="center" vertical="top" wrapText="1"/>
    </xf>
    <xf numFmtId="0" fontId="77" fillId="0" borderId="0" xfId="0" applyFont="1" applyAlignment="1">
      <alignment horizontal="center" vertical="top"/>
    </xf>
    <xf numFmtId="0" fontId="6" fillId="0" borderId="6" xfId="1" applyFont="1" applyBorder="1" applyAlignment="1">
      <alignment horizontal="center" vertical="top" wrapText="1" readingOrder="1"/>
    </xf>
    <xf numFmtId="0" fontId="6" fillId="0" borderId="8" xfId="1" applyFont="1" applyBorder="1" applyAlignment="1">
      <alignment horizontal="center" vertical="top" wrapText="1" readingOrder="1"/>
    </xf>
    <xf numFmtId="0" fontId="6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54" fillId="0" borderId="13" xfId="0" applyFont="1" applyBorder="1" applyAlignment="1" applyProtection="1">
      <alignment horizontal="left"/>
      <protection locked="0"/>
    </xf>
    <xf numFmtId="0" fontId="54" fillId="0" borderId="15" xfId="0" applyFont="1" applyBorder="1" applyAlignment="1" applyProtection="1">
      <alignment horizontal="left"/>
      <protection locked="0"/>
    </xf>
    <xf numFmtId="0" fontId="54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0" fillId="6" borderId="13" xfId="7" applyNumberFormat="1" applyFont="1" applyFill="1" applyBorder="1" applyAlignment="1" applyProtection="1">
      <alignment horizontal="center"/>
      <protection locked="0"/>
    </xf>
    <xf numFmtId="180" fontId="80" fillId="6" borderId="15" xfId="7" applyNumberFormat="1" applyFont="1" applyFill="1" applyBorder="1" applyAlignment="1" applyProtection="1">
      <alignment horizontal="center"/>
      <protection locked="0"/>
    </xf>
    <xf numFmtId="180" fontId="80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80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180" fontId="80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4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" xfId="6" applyFont="1" applyBorder="1" applyAlignment="1"/>
    <xf numFmtId="0" fontId="22" fillId="0" borderId="3" xfId="6" applyBorder="1" applyAlignment="1"/>
    <xf numFmtId="0" fontId="22" fillId="0" borderId="0" xfId="6" applyBorder="1" applyAlignment="1"/>
    <xf numFmtId="0" fontId="22" fillId="0" borderId="0" xfId="6" applyAlignment="1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  <xf numFmtId="0" fontId="22" fillId="0" borderId="15" xfId="6" applyBorder="1" applyAlignment="1"/>
    <xf numFmtId="0" fontId="8" fillId="0" borderId="13" xfId="6" applyFont="1" applyBorder="1" applyAlignment="1">
      <alignment horizontal="left" vertical="top" wrapText="1"/>
    </xf>
    <xf numFmtId="0" fontId="8" fillId="0" borderId="15" xfId="6" applyFont="1" applyBorder="1" applyAlignment="1">
      <alignment horizontal="left" vertical="top" wrapText="1"/>
    </xf>
    <xf numFmtId="0" fontId="8" fillId="0" borderId="14" xfId="6" applyFont="1" applyBorder="1" applyAlignment="1">
      <alignment horizontal="left" vertical="top" wrapText="1"/>
    </xf>
    <xf numFmtId="0" fontId="8" fillId="0" borderId="13" xfId="6" applyFont="1" applyBorder="1" applyAlignment="1">
      <alignment horizontal="center" vertical="center"/>
    </xf>
    <xf numFmtId="0" fontId="8" fillId="0" borderId="14" xfId="6" applyFont="1" applyBorder="1" applyAlignment="1">
      <alignment horizontal="center" vertical="center"/>
    </xf>
    <xf numFmtId="178" fontId="8" fillId="0" borderId="13" xfId="6" applyNumberFormat="1" applyFont="1" applyBorder="1" applyAlignment="1">
      <alignment horizontal="left" vertical="center"/>
    </xf>
    <xf numFmtId="178" fontId="8" fillId="0" borderId="14" xfId="6" applyNumberFormat="1" applyFont="1" applyBorder="1" applyAlignment="1">
      <alignment horizontal="left" vertical="center"/>
    </xf>
    <xf numFmtId="0" fontId="22" fillId="0" borderId="2" xfId="6" applyBorder="1" applyAlignment="1"/>
    <xf numFmtId="0" fontId="22" fillId="0" borderId="13" xfId="6" applyFont="1" applyBorder="1" applyAlignment="1"/>
    <xf numFmtId="0" fontId="22" fillId="0" borderId="14" xfId="6" applyBorder="1" applyAlignment="1"/>
    <xf numFmtId="0" fontId="22" fillId="0" borderId="13" xfId="6" applyBorder="1" applyAlignment="1"/>
    <xf numFmtId="176" fontId="8" fillId="0" borderId="13" xfId="6" applyNumberFormat="1" applyFont="1" applyBorder="1" applyAlignment="1">
      <alignment vertical="center"/>
    </xf>
    <xf numFmtId="176" fontId="8" fillId="0" borderId="14" xfId="6" applyNumberFormat="1" applyFont="1" applyBorder="1" applyAlignment="1">
      <alignment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13" xfId="6" applyFont="1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22" fillId="0" borderId="4" xfId="6" applyBorder="1" applyAlignment="1"/>
    <xf numFmtId="179" fontId="22" fillId="0" borderId="2" xfId="6" applyNumberFormat="1" applyFont="1" applyBorder="1" applyAlignment="1"/>
    <xf numFmtId="179" fontId="22" fillId="0" borderId="2" xfId="6" applyNumberFormat="1" applyBorder="1" applyAlignment="1"/>
    <xf numFmtId="179" fontId="22" fillId="0" borderId="9" xfId="6" applyNumberFormat="1" applyBorder="1" applyAlignment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Font="1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</cellXfs>
  <cellStyles count="15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_20.彰化縣政府財政處對帳通知單" xfId="5" xr:uid="{00000000-0005-0000-0000-000008000000}"/>
    <cellStyle name="一般_ghbr055" xfId="6" xr:uid="{00000000-0005-0000-0000-000009000000}"/>
    <cellStyle name="一般_月報-10009" xfId="13" xr:uid="{00000000-0005-0000-0000-00000A000000}"/>
    <cellStyle name="千分位" xfId="7" builtinId="3"/>
    <cellStyle name="千分位 2" xfId="8" xr:uid="{00000000-0005-0000-0000-00000C000000}"/>
    <cellStyle name="百分比" xfId="14" builtinId="5"/>
    <cellStyle name="百分比 2" xfId="9" xr:uid="{00000000-0005-0000-0000-00000E000000}"/>
  </cellStyles>
  <dxfs count="80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rp_acc_ms_balance_v2%20(10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01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acc_slipin_and_slipout_report_taipei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4">
          <cell r="N14">
            <v>42977960</v>
          </cell>
        </row>
        <row r="15">
          <cell r="N15">
            <v>2514</v>
          </cell>
        </row>
        <row r="16">
          <cell r="N16">
            <v>2514</v>
          </cell>
        </row>
        <row r="17">
          <cell r="N17">
            <v>7341270</v>
          </cell>
        </row>
        <row r="18">
          <cell r="N18">
            <v>31890</v>
          </cell>
        </row>
        <row r="19">
          <cell r="N19">
            <v>1272586</v>
          </cell>
        </row>
        <row r="20">
          <cell r="N20">
            <v>6036794</v>
          </cell>
        </row>
        <row r="21">
          <cell r="N21">
            <v>35623693</v>
          </cell>
        </row>
        <row r="22">
          <cell r="N22">
            <v>35623693</v>
          </cell>
        </row>
        <row r="23">
          <cell r="N23">
            <v>10483</v>
          </cell>
        </row>
        <row r="24">
          <cell r="N24">
            <v>10483</v>
          </cell>
        </row>
        <row r="25">
          <cell r="N25">
            <v>37177466</v>
          </cell>
        </row>
        <row r="26">
          <cell r="N26">
            <v>34059227</v>
          </cell>
        </row>
        <row r="27">
          <cell r="N27">
            <v>34059227</v>
          </cell>
        </row>
        <row r="28">
          <cell r="N28">
            <v>1074604</v>
          </cell>
        </row>
        <row r="29">
          <cell r="N29">
            <v>1074604</v>
          </cell>
        </row>
        <row r="30">
          <cell r="N30">
            <v>37303</v>
          </cell>
        </row>
        <row r="31">
          <cell r="N31">
            <v>37303</v>
          </cell>
        </row>
        <row r="32">
          <cell r="N32">
            <v>1998092</v>
          </cell>
        </row>
        <row r="33">
          <cell r="N33">
            <v>1998092</v>
          </cell>
        </row>
        <row r="34">
          <cell r="N34">
            <v>8240</v>
          </cell>
        </row>
        <row r="35">
          <cell r="N35">
            <v>8240</v>
          </cell>
        </row>
        <row r="36">
          <cell r="N36">
            <v>5800494</v>
          </cell>
        </row>
        <row r="37">
          <cell r="N37">
            <v>37061840</v>
          </cell>
        </row>
        <row r="38">
          <cell r="N38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/>
          <cell r="E18"/>
          <cell r="O18">
            <v>0</v>
          </cell>
        </row>
        <row r="20">
          <cell r="D20"/>
          <cell r="E20"/>
          <cell r="O20">
            <v>0</v>
          </cell>
        </row>
        <row r="21">
          <cell r="D21"/>
          <cell r="E21"/>
          <cell r="O21">
            <v>0</v>
          </cell>
        </row>
        <row r="23">
          <cell r="D23"/>
          <cell r="E23"/>
          <cell r="O23">
            <v>0</v>
          </cell>
        </row>
        <row r="24">
          <cell r="D24">
            <v>65606</v>
          </cell>
          <cell r="E24"/>
          <cell r="O24">
            <v>1994354</v>
          </cell>
        </row>
        <row r="26">
          <cell r="D26"/>
          <cell r="E26"/>
          <cell r="O26">
            <v>0</v>
          </cell>
        </row>
        <row r="27">
          <cell r="D27"/>
          <cell r="E27">
            <v>462500</v>
          </cell>
          <cell r="O27">
            <v>24273070</v>
          </cell>
        </row>
        <row r="29">
          <cell r="D29"/>
          <cell r="E29"/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/>
          <cell r="E32"/>
          <cell r="O32">
            <v>0</v>
          </cell>
        </row>
        <row r="33">
          <cell r="D33"/>
          <cell r="E33">
            <v>98000</v>
          </cell>
          <cell r="O33">
            <v>702170</v>
          </cell>
        </row>
        <row r="35">
          <cell r="D35"/>
          <cell r="E35"/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/>
          <cell r="E38"/>
          <cell r="O38">
            <v>0</v>
          </cell>
        </row>
        <row r="39">
          <cell r="D39"/>
          <cell r="E39"/>
          <cell r="O39">
            <v>0</v>
          </cell>
        </row>
        <row r="41">
          <cell r="D41"/>
          <cell r="E41"/>
          <cell r="O41">
            <v>0</v>
          </cell>
        </row>
        <row r="42">
          <cell r="D42"/>
          <cell r="E42"/>
          <cell r="O42">
            <v>0</v>
          </cell>
        </row>
        <row r="44">
          <cell r="D44"/>
          <cell r="E44"/>
          <cell r="O44">
            <v>0</v>
          </cell>
        </row>
        <row r="45">
          <cell r="D45"/>
          <cell r="E45"/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B15" sqref="B15:F15"/>
    </sheetView>
  </sheetViews>
  <sheetFormatPr defaultColWidth="9.109375" defaultRowHeight="13.8" x14ac:dyDescent="0.25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1" width="6.88671875" style="59" bestFit="1" customWidth="1"/>
    <col min="12" max="12" width="10.5546875" style="59" customWidth="1"/>
    <col min="13" max="13" width="7.109375" style="59" bestFit="1" customWidth="1"/>
    <col min="14" max="16384" width="9.109375" style="59"/>
  </cols>
  <sheetData>
    <row r="1" spans="1:14" ht="36.6" x14ac:dyDescent="0.25">
      <c r="A1" s="63" t="s">
        <v>287</v>
      </c>
    </row>
    <row r="4" spans="1:14" ht="36.6" x14ac:dyDescent="0.25">
      <c r="A4" s="563" t="s">
        <v>286</v>
      </c>
      <c r="B4" s="564"/>
      <c r="C4" s="564"/>
      <c r="D4" s="564"/>
      <c r="E4" s="564"/>
      <c r="F4" s="564"/>
      <c r="G4" s="564"/>
      <c r="H4" s="564"/>
      <c r="I4" s="564"/>
      <c r="J4" s="564"/>
      <c r="K4" s="564"/>
      <c r="L4" s="564"/>
      <c r="M4" s="564"/>
      <c r="N4" s="564"/>
    </row>
    <row r="5" spans="1:14" ht="59.25" customHeight="1" x14ac:dyDescent="0.25"/>
    <row r="6" spans="1:14" ht="59.25" customHeight="1" x14ac:dyDescent="0.25"/>
    <row r="7" spans="1:14" ht="36.6" x14ac:dyDescent="0.25">
      <c r="C7" s="565" t="s">
        <v>122</v>
      </c>
      <c r="D7" s="565"/>
      <c r="E7" s="565"/>
      <c r="F7" s="565"/>
      <c r="G7" s="565"/>
      <c r="H7" s="565"/>
      <c r="I7" s="565"/>
      <c r="J7" s="565"/>
      <c r="K7" s="565"/>
      <c r="L7" s="565"/>
    </row>
    <row r="8" spans="1:14" ht="51.75" customHeight="1" x14ac:dyDescent="0.25"/>
    <row r="9" spans="1:14" ht="51.75" customHeight="1" x14ac:dyDescent="0.25"/>
    <row r="10" spans="1:14" s="67" customFormat="1" ht="33" x14ac:dyDescent="0.25">
      <c r="C10" s="333"/>
      <c r="D10" s="333"/>
      <c r="E10" s="566" t="s">
        <v>123</v>
      </c>
      <c r="F10" s="566"/>
      <c r="G10" s="566"/>
      <c r="H10" s="67">
        <v>109</v>
      </c>
      <c r="I10" s="67" t="s">
        <v>124</v>
      </c>
      <c r="K10" s="73" t="s">
        <v>125</v>
      </c>
      <c r="M10" s="67" t="s">
        <v>299</v>
      </c>
    </row>
    <row r="11" spans="1:14" x14ac:dyDescent="0.25">
      <c r="M11" s="62"/>
    </row>
    <row r="15" spans="1:14" s="64" customFormat="1" ht="34.5" customHeight="1" x14ac:dyDescent="0.25">
      <c r="B15" s="567" t="s">
        <v>126</v>
      </c>
      <c r="C15" s="567"/>
      <c r="D15" s="567"/>
      <c r="E15" s="567"/>
      <c r="F15" s="567"/>
      <c r="H15" s="332"/>
      <c r="I15" s="332" t="s">
        <v>127</v>
      </c>
      <c r="J15" s="332"/>
      <c r="K15" s="332"/>
      <c r="L15" s="332"/>
    </row>
    <row r="16" spans="1:14" ht="12" customHeight="1" x14ac:dyDescent="0.25"/>
  </sheetData>
  <mergeCells count="4">
    <mergeCell ref="A4:N4"/>
    <mergeCell ref="C7:L7"/>
    <mergeCell ref="E10:G10"/>
    <mergeCell ref="B15:F15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T25" sqref="T25"/>
      <selection pane="bottomLeft" activeCell="T25" sqref="T25"/>
    </sheetView>
  </sheetViews>
  <sheetFormatPr defaultColWidth="6.88671875" defaultRowHeight="12.75" customHeight="1" x14ac:dyDescent="0.25"/>
  <cols>
    <col min="1" max="1" width="1" style="85" customWidth="1"/>
    <col min="2" max="3" width="1.88671875" style="85" customWidth="1"/>
    <col min="4" max="4" width="2.88671875" style="85" customWidth="1"/>
    <col min="5" max="6" width="1" style="85" customWidth="1"/>
    <col min="7" max="7" width="1.88671875" style="85" customWidth="1"/>
    <col min="8" max="8" width="1" style="85" customWidth="1"/>
    <col min="9" max="9" width="13.5546875" style="85" customWidth="1"/>
    <col min="10" max="10" width="24" style="85" customWidth="1"/>
    <col min="11" max="11" width="1.88671875" style="85" customWidth="1"/>
    <col min="12" max="12" width="2" style="85" customWidth="1"/>
    <col min="13" max="13" width="3.109375" style="85" customWidth="1"/>
    <col min="14" max="14" width="4.33203125" style="3" hidden="1" customWidth="1"/>
    <col min="15" max="15" width="20.6640625" style="3" customWidth="1"/>
    <col min="16" max="16" width="2.88671875" style="3" hidden="1" customWidth="1"/>
    <col min="17" max="17" width="20.6640625" style="3" customWidth="1"/>
    <col min="18" max="18" width="4.33203125" style="3" hidden="1" customWidth="1"/>
    <col min="19" max="19" width="23.44140625" style="3" customWidth="1"/>
    <col min="20" max="20" width="3.44140625" style="3" hidden="1" customWidth="1"/>
    <col min="21" max="21" width="7.5546875" style="3" hidden="1" customWidth="1"/>
    <col min="22" max="22" width="3.44140625" style="3" hidden="1" customWidth="1"/>
    <col min="23" max="23" width="11.44140625" style="3" customWidth="1"/>
    <col min="24" max="16384" width="6.88671875" style="3"/>
  </cols>
  <sheetData>
    <row r="1" spans="1:24" ht="12" hidden="1" customHeight="1" x14ac:dyDescent="0.25">
      <c r="T1" s="669"/>
      <c r="U1" s="669"/>
      <c r="V1" s="669"/>
      <c r="W1" s="669"/>
    </row>
    <row r="2" spans="1:24" ht="24.75" customHeight="1" x14ac:dyDescent="0.25">
      <c r="A2" s="610" t="str">
        <f>封面!$A$4</f>
        <v>彰化縣地方教育發展基金－彰化縣秀水鄉馬興國民小學</v>
      </c>
      <c r="B2" s="570"/>
      <c r="C2" s="570"/>
      <c r="D2" s="570"/>
      <c r="E2" s="570"/>
      <c r="F2" s="570"/>
      <c r="G2" s="570"/>
      <c r="H2" s="570"/>
      <c r="I2" s="570"/>
      <c r="J2" s="570"/>
      <c r="K2" s="570"/>
      <c r="L2" s="570"/>
      <c r="M2" s="570"/>
      <c r="N2" s="570"/>
      <c r="O2" s="570"/>
      <c r="P2" s="570"/>
      <c r="Q2" s="570"/>
      <c r="R2" s="570"/>
      <c r="S2" s="570"/>
      <c r="T2" s="570"/>
      <c r="U2" s="570"/>
      <c r="V2" s="570"/>
      <c r="W2" s="570"/>
    </row>
    <row r="3" spans="1:24" ht="20.25" customHeight="1" x14ac:dyDescent="0.25">
      <c r="A3" s="645" t="s">
        <v>71</v>
      </c>
      <c r="B3" s="645"/>
      <c r="C3" s="645"/>
      <c r="D3" s="645"/>
      <c r="E3" s="645"/>
      <c r="F3" s="645"/>
      <c r="G3" s="645"/>
      <c r="H3" s="645"/>
      <c r="I3" s="645"/>
      <c r="J3" s="645"/>
      <c r="K3" s="645"/>
      <c r="L3" s="645"/>
      <c r="M3" s="645"/>
      <c r="N3" s="645"/>
      <c r="O3" s="645"/>
      <c r="P3" s="645"/>
      <c r="Q3" s="645"/>
      <c r="R3" s="645"/>
      <c r="S3" s="645"/>
      <c r="T3" s="645"/>
      <c r="U3" s="645"/>
      <c r="V3" s="645"/>
      <c r="W3" s="645"/>
    </row>
    <row r="4" spans="1:24" ht="20.25" customHeight="1" x14ac:dyDescent="0.25">
      <c r="A4" s="608" t="str">
        <f>封面!$E$10&amp;封面!$H$10&amp;封面!$I$10&amp;封面!$J$10&amp;封面!$K$10&amp;封面!L10</f>
        <v>中華民國110年12月份</v>
      </c>
      <c r="B4" s="608"/>
      <c r="C4" s="608"/>
      <c r="D4" s="608"/>
      <c r="E4" s="608"/>
      <c r="F4" s="608"/>
      <c r="G4" s="608"/>
      <c r="H4" s="608"/>
      <c r="I4" s="608"/>
      <c r="J4" s="608"/>
      <c r="K4" s="608"/>
      <c r="L4" s="608"/>
      <c r="M4" s="608"/>
      <c r="N4" s="608"/>
      <c r="O4" s="608"/>
      <c r="P4" s="608"/>
      <c r="Q4" s="608"/>
      <c r="R4" s="608"/>
      <c r="S4" s="608"/>
      <c r="T4" s="608"/>
      <c r="U4" s="608"/>
      <c r="V4" s="608"/>
      <c r="W4" s="608"/>
    </row>
    <row r="5" spans="1:24" ht="16.2" x14ac:dyDescent="0.3">
      <c r="S5" s="671" t="s">
        <v>1</v>
      </c>
      <c r="T5" s="570"/>
      <c r="U5" s="570"/>
      <c r="V5" s="570"/>
      <c r="W5" s="570"/>
    </row>
    <row r="6" spans="1:24" ht="13.8" hidden="1" x14ac:dyDescent="0.25"/>
    <row r="7" spans="1:24" ht="8.1" customHeight="1" x14ac:dyDescent="0.25">
      <c r="A7" s="650" t="s">
        <v>6</v>
      </c>
      <c r="B7" s="670"/>
      <c r="C7" s="670"/>
      <c r="D7" s="670"/>
      <c r="E7" s="670"/>
      <c r="F7" s="670"/>
      <c r="G7" s="670"/>
      <c r="H7" s="670"/>
      <c r="I7" s="670"/>
      <c r="J7" s="670"/>
      <c r="K7" s="670"/>
      <c r="L7" s="670"/>
      <c r="M7" s="670"/>
      <c r="N7" s="650" t="s">
        <v>73</v>
      </c>
      <c r="O7" s="668"/>
      <c r="P7" s="650" t="s">
        <v>74</v>
      </c>
      <c r="Q7" s="668"/>
      <c r="R7" s="650" t="s">
        <v>72</v>
      </c>
      <c r="S7" s="668"/>
      <c r="T7" s="668"/>
      <c r="U7" s="668"/>
      <c r="V7" s="668"/>
      <c r="W7" s="668"/>
      <c r="X7" s="6"/>
    </row>
    <row r="8" spans="1:24" ht="8.1" customHeight="1" x14ac:dyDescent="0.25">
      <c r="A8" s="670"/>
      <c r="B8" s="670"/>
      <c r="C8" s="670"/>
      <c r="D8" s="670"/>
      <c r="E8" s="670"/>
      <c r="F8" s="670"/>
      <c r="G8" s="670"/>
      <c r="H8" s="670"/>
      <c r="I8" s="670"/>
      <c r="J8" s="670"/>
      <c r="K8" s="670"/>
      <c r="L8" s="670"/>
      <c r="M8" s="670"/>
      <c r="N8" s="668"/>
      <c r="O8" s="668"/>
      <c r="P8" s="668"/>
      <c r="Q8" s="668"/>
      <c r="R8" s="668"/>
      <c r="S8" s="668"/>
      <c r="T8" s="668"/>
      <c r="U8" s="668"/>
      <c r="V8" s="668"/>
      <c r="W8" s="668"/>
      <c r="X8" s="6"/>
    </row>
    <row r="9" spans="1:24" ht="8.1" customHeight="1" x14ac:dyDescent="0.25">
      <c r="A9" s="670"/>
      <c r="B9" s="670"/>
      <c r="C9" s="670"/>
      <c r="D9" s="670"/>
      <c r="E9" s="670"/>
      <c r="F9" s="670"/>
      <c r="G9" s="670"/>
      <c r="H9" s="670"/>
      <c r="I9" s="670"/>
      <c r="J9" s="670"/>
      <c r="K9" s="670"/>
      <c r="L9" s="670"/>
      <c r="M9" s="670"/>
      <c r="N9" s="668"/>
      <c r="O9" s="668"/>
      <c r="P9" s="668"/>
      <c r="Q9" s="668"/>
      <c r="R9" s="650" t="s">
        <v>4</v>
      </c>
      <c r="S9" s="668"/>
      <c r="T9" s="668"/>
      <c r="U9" s="668"/>
      <c r="V9" s="83"/>
      <c r="W9" s="672" t="s">
        <v>156</v>
      </c>
      <c r="X9" s="6"/>
    </row>
    <row r="10" spans="1:24" ht="8.1" customHeight="1" x14ac:dyDescent="0.25">
      <c r="A10" s="670"/>
      <c r="B10" s="670"/>
      <c r="C10" s="670"/>
      <c r="D10" s="670"/>
      <c r="E10" s="670"/>
      <c r="F10" s="670"/>
      <c r="G10" s="670"/>
      <c r="H10" s="670"/>
      <c r="I10" s="670"/>
      <c r="J10" s="670"/>
      <c r="K10" s="670"/>
      <c r="L10" s="670"/>
      <c r="M10" s="670"/>
      <c r="N10" s="668"/>
      <c r="O10" s="668"/>
      <c r="P10" s="668"/>
      <c r="Q10" s="668"/>
      <c r="R10" s="668"/>
      <c r="S10" s="668"/>
      <c r="T10" s="668"/>
      <c r="U10" s="668"/>
      <c r="V10" s="84"/>
      <c r="W10" s="654"/>
      <c r="X10" s="6"/>
    </row>
    <row r="11" spans="1:24" ht="13.2" hidden="1" x14ac:dyDescent="0.25">
      <c r="A11" s="670"/>
      <c r="B11" s="670"/>
      <c r="C11" s="670"/>
      <c r="D11" s="670"/>
      <c r="E11" s="670"/>
      <c r="F11" s="670"/>
      <c r="G11" s="670"/>
      <c r="H11" s="670"/>
      <c r="I11" s="670"/>
      <c r="J11" s="670"/>
      <c r="K11" s="670"/>
      <c r="L11" s="670"/>
      <c r="M11" s="670"/>
      <c r="N11" s="668"/>
      <c r="O11" s="668"/>
      <c r="P11" s="668"/>
      <c r="Q11" s="668"/>
      <c r="R11" s="668"/>
      <c r="S11" s="668"/>
      <c r="T11" s="668"/>
      <c r="U11" s="668"/>
      <c r="V11" s="84"/>
      <c r="W11" s="84"/>
      <c r="X11" s="6"/>
    </row>
    <row r="12" spans="1:24" ht="15.75" customHeight="1" x14ac:dyDescent="0.3">
      <c r="A12" s="258"/>
      <c r="B12" s="90" t="s">
        <v>466</v>
      </c>
      <c r="C12" s="90"/>
      <c r="D12" s="90"/>
      <c r="E12" s="90"/>
      <c r="F12" s="90" t="s">
        <v>528</v>
      </c>
      <c r="G12" s="90"/>
      <c r="H12" s="90"/>
      <c r="I12" s="90"/>
      <c r="J12" s="90"/>
      <c r="K12" s="90"/>
      <c r="L12" s="90"/>
      <c r="M12" s="259"/>
      <c r="N12" s="264"/>
      <c r="O12" s="265">
        <v>34554000</v>
      </c>
      <c r="P12" s="266"/>
      <c r="Q12" s="265">
        <v>34690165</v>
      </c>
      <c r="R12" s="266"/>
      <c r="S12" s="265">
        <v>136165</v>
      </c>
      <c r="T12" s="265"/>
      <c r="U12" s="265"/>
      <c r="V12" s="266"/>
      <c r="W12" s="265" t="s">
        <v>529</v>
      </c>
      <c r="X12" s="6"/>
    </row>
    <row r="13" spans="1:24" ht="15.75" customHeight="1" x14ac:dyDescent="0.3">
      <c r="A13" s="260"/>
      <c r="B13" s="91"/>
      <c r="C13" s="378" t="s">
        <v>468</v>
      </c>
      <c r="D13" s="378"/>
      <c r="E13" s="378"/>
      <c r="F13" s="91"/>
      <c r="G13" s="91" t="s">
        <v>530</v>
      </c>
      <c r="H13" s="91"/>
      <c r="I13" s="91"/>
      <c r="J13" s="91"/>
      <c r="K13" s="91"/>
      <c r="L13" s="91"/>
      <c r="M13" s="261"/>
      <c r="N13" s="267"/>
      <c r="O13" s="268"/>
      <c r="P13" s="268"/>
      <c r="Q13" s="269">
        <v>22612808</v>
      </c>
      <c r="R13" s="268"/>
      <c r="S13" s="269">
        <v>22612808</v>
      </c>
      <c r="T13" s="269"/>
      <c r="U13" s="269"/>
      <c r="V13" s="268"/>
      <c r="W13" s="268"/>
      <c r="X13" s="6"/>
    </row>
    <row r="14" spans="1:24" ht="15.75" customHeight="1" x14ac:dyDescent="0.3">
      <c r="A14" s="260"/>
      <c r="B14" s="91"/>
      <c r="C14" s="378"/>
      <c r="D14" s="378" t="s">
        <v>531</v>
      </c>
      <c r="E14" s="378"/>
      <c r="F14" s="91"/>
      <c r="G14" s="91"/>
      <c r="H14" s="91"/>
      <c r="I14" s="91" t="s">
        <v>532</v>
      </c>
      <c r="J14" s="91"/>
      <c r="K14" s="91"/>
      <c r="L14" s="91"/>
      <c r="M14" s="261"/>
      <c r="N14" s="267"/>
      <c r="O14" s="268"/>
      <c r="P14" s="268"/>
      <c r="Q14" s="269">
        <v>22230068</v>
      </c>
      <c r="R14" s="268"/>
      <c r="S14" s="269">
        <v>22230068</v>
      </c>
      <c r="T14" s="269"/>
      <c r="U14" s="269"/>
      <c r="V14" s="268"/>
      <c r="W14" s="268"/>
      <c r="X14" s="6"/>
    </row>
    <row r="15" spans="1:24" ht="15.75" customHeight="1" x14ac:dyDescent="0.3">
      <c r="A15" s="260"/>
      <c r="B15" s="91"/>
      <c r="C15" s="378"/>
      <c r="D15" s="378" t="s">
        <v>533</v>
      </c>
      <c r="E15" s="378"/>
      <c r="F15" s="91"/>
      <c r="G15" s="91"/>
      <c r="H15" s="91"/>
      <c r="I15" s="91" t="s">
        <v>534</v>
      </c>
      <c r="J15" s="91"/>
      <c r="K15" s="91"/>
      <c r="L15" s="91"/>
      <c r="M15" s="261"/>
      <c r="N15" s="267"/>
      <c r="O15" s="268"/>
      <c r="P15" s="268"/>
      <c r="Q15" s="269">
        <v>382740</v>
      </c>
      <c r="R15" s="268"/>
      <c r="S15" s="269">
        <v>382740</v>
      </c>
      <c r="T15" s="269"/>
      <c r="U15" s="269"/>
      <c r="V15" s="268"/>
      <c r="W15" s="268"/>
      <c r="X15" s="6"/>
    </row>
    <row r="16" spans="1:24" ht="15.75" customHeight="1" x14ac:dyDescent="0.3">
      <c r="A16" s="260"/>
      <c r="B16" s="91"/>
      <c r="C16" s="378" t="s">
        <v>535</v>
      </c>
      <c r="D16" s="378"/>
      <c r="E16" s="378"/>
      <c r="F16" s="91"/>
      <c r="G16" s="91" t="s">
        <v>536</v>
      </c>
      <c r="H16" s="91"/>
      <c r="I16" s="91"/>
      <c r="J16" s="91"/>
      <c r="K16" s="91"/>
      <c r="L16" s="91"/>
      <c r="M16" s="261"/>
      <c r="N16" s="267"/>
      <c r="O16" s="268"/>
      <c r="P16" s="268"/>
      <c r="Q16" s="269">
        <v>614720</v>
      </c>
      <c r="R16" s="268"/>
      <c r="S16" s="269">
        <v>614720</v>
      </c>
      <c r="T16" s="269"/>
      <c r="U16" s="269"/>
      <c r="V16" s="268"/>
      <c r="W16" s="268"/>
      <c r="X16" s="6"/>
    </row>
    <row r="17" spans="1:24" ht="15.75" customHeight="1" x14ac:dyDescent="0.3">
      <c r="A17" s="260"/>
      <c r="B17" s="91"/>
      <c r="C17" s="378"/>
      <c r="D17" s="378" t="s">
        <v>537</v>
      </c>
      <c r="E17" s="378"/>
      <c r="F17" s="91"/>
      <c r="G17" s="91"/>
      <c r="H17" s="91"/>
      <c r="I17" s="91" t="s">
        <v>538</v>
      </c>
      <c r="J17" s="91"/>
      <c r="K17" s="91"/>
      <c r="L17" s="91"/>
      <c r="M17" s="261"/>
      <c r="N17" s="267"/>
      <c r="O17" s="268"/>
      <c r="P17" s="268"/>
      <c r="Q17" s="269">
        <v>614720</v>
      </c>
      <c r="R17" s="268"/>
      <c r="S17" s="269">
        <v>614720</v>
      </c>
      <c r="T17" s="269"/>
      <c r="U17" s="269"/>
      <c r="V17" s="268"/>
      <c r="W17" s="268"/>
      <c r="X17" s="6"/>
    </row>
    <row r="18" spans="1:24" ht="15.75" customHeight="1" x14ac:dyDescent="0.3">
      <c r="A18" s="260"/>
      <c r="B18" s="91"/>
      <c r="C18" s="378" t="s">
        <v>539</v>
      </c>
      <c r="D18" s="378"/>
      <c r="E18" s="378"/>
      <c r="F18" s="91"/>
      <c r="G18" s="91" t="s">
        <v>540</v>
      </c>
      <c r="H18" s="91"/>
      <c r="I18" s="91"/>
      <c r="J18" s="91"/>
      <c r="K18" s="91"/>
      <c r="L18" s="91"/>
      <c r="M18" s="261"/>
      <c r="N18" s="267"/>
      <c r="O18" s="268"/>
      <c r="P18" s="268"/>
      <c r="Q18" s="269">
        <v>504000</v>
      </c>
      <c r="R18" s="268"/>
      <c r="S18" s="269">
        <v>504000</v>
      </c>
      <c r="T18" s="269"/>
      <c r="U18" s="269"/>
      <c r="V18" s="268"/>
      <c r="W18" s="268"/>
      <c r="X18" s="6"/>
    </row>
    <row r="19" spans="1:24" ht="15.75" customHeight="1" x14ac:dyDescent="0.3">
      <c r="A19" s="260"/>
      <c r="B19" s="91"/>
      <c r="C19" s="378"/>
      <c r="D19" s="378" t="s">
        <v>541</v>
      </c>
      <c r="E19" s="378"/>
      <c r="F19" s="91"/>
      <c r="G19" s="91"/>
      <c r="H19" s="91"/>
      <c r="I19" s="91" t="s">
        <v>542</v>
      </c>
      <c r="J19" s="91"/>
      <c r="K19" s="91"/>
      <c r="L19" s="91"/>
      <c r="M19" s="261"/>
      <c r="N19" s="267"/>
      <c r="O19" s="268"/>
      <c r="P19" s="268"/>
      <c r="Q19" s="269">
        <v>504000</v>
      </c>
      <c r="R19" s="268"/>
      <c r="S19" s="269">
        <v>504000</v>
      </c>
      <c r="T19" s="269"/>
      <c r="U19" s="269"/>
      <c r="V19" s="268"/>
      <c r="W19" s="268"/>
      <c r="X19" s="6"/>
    </row>
    <row r="20" spans="1:24" ht="15.75" customHeight="1" x14ac:dyDescent="0.3">
      <c r="A20" s="260"/>
      <c r="B20" s="91"/>
      <c r="C20" s="378" t="s">
        <v>543</v>
      </c>
      <c r="D20" s="378"/>
      <c r="E20" s="378"/>
      <c r="F20" s="91"/>
      <c r="G20" s="91" t="s">
        <v>544</v>
      </c>
      <c r="H20" s="91"/>
      <c r="I20" s="91"/>
      <c r="J20" s="91"/>
      <c r="K20" s="91"/>
      <c r="L20" s="91"/>
      <c r="M20" s="261"/>
      <c r="N20" s="267"/>
      <c r="O20" s="268"/>
      <c r="P20" s="268"/>
      <c r="Q20" s="269">
        <v>6268719</v>
      </c>
      <c r="R20" s="268"/>
      <c r="S20" s="269">
        <v>6268719</v>
      </c>
      <c r="T20" s="269"/>
      <c r="U20" s="269"/>
      <c r="V20" s="268"/>
      <c r="W20" s="268"/>
      <c r="X20" s="6"/>
    </row>
    <row r="21" spans="1:24" ht="15.75" customHeight="1" x14ac:dyDescent="0.3">
      <c r="A21" s="260"/>
      <c r="B21" s="91"/>
      <c r="C21" s="378"/>
      <c r="D21" s="378" t="s">
        <v>545</v>
      </c>
      <c r="E21" s="378"/>
      <c r="F21" s="91"/>
      <c r="G21" s="91"/>
      <c r="H21" s="91"/>
      <c r="I21" s="91" t="s">
        <v>546</v>
      </c>
      <c r="J21" s="91"/>
      <c r="K21" s="91"/>
      <c r="L21" s="91"/>
      <c r="M21" s="261"/>
      <c r="N21" s="267"/>
      <c r="O21" s="268"/>
      <c r="P21" s="268"/>
      <c r="Q21" s="269">
        <v>3375823</v>
      </c>
      <c r="R21" s="268"/>
      <c r="S21" s="269">
        <v>3375823</v>
      </c>
      <c r="T21" s="269"/>
      <c r="U21" s="269"/>
      <c r="V21" s="268"/>
      <c r="W21" s="268"/>
      <c r="X21" s="6"/>
    </row>
    <row r="22" spans="1:24" ht="15.75" customHeight="1" x14ac:dyDescent="0.3">
      <c r="A22" s="260"/>
      <c r="B22" s="91"/>
      <c r="C22" s="378"/>
      <c r="D22" s="378" t="s">
        <v>547</v>
      </c>
      <c r="E22" s="378"/>
      <c r="F22" s="91"/>
      <c r="G22" s="91"/>
      <c r="H22" s="91"/>
      <c r="I22" s="91" t="s">
        <v>548</v>
      </c>
      <c r="J22" s="91"/>
      <c r="K22" s="91"/>
      <c r="L22" s="91"/>
      <c r="M22" s="261"/>
      <c r="N22" s="267"/>
      <c r="O22" s="268"/>
      <c r="P22" s="268"/>
      <c r="Q22" s="269">
        <v>2892896</v>
      </c>
      <c r="R22" s="268"/>
      <c r="S22" s="269">
        <v>2892896</v>
      </c>
      <c r="T22" s="269"/>
      <c r="U22" s="269"/>
      <c r="V22" s="268"/>
      <c r="W22" s="268"/>
      <c r="X22" s="6"/>
    </row>
    <row r="23" spans="1:24" ht="15.75" customHeight="1" x14ac:dyDescent="0.3">
      <c r="A23" s="260"/>
      <c r="B23" s="91"/>
      <c r="C23" s="91" t="s">
        <v>549</v>
      </c>
      <c r="D23" s="91"/>
      <c r="E23" s="91"/>
      <c r="F23" s="91"/>
      <c r="G23" s="91" t="s">
        <v>550</v>
      </c>
      <c r="H23" s="91"/>
      <c r="I23" s="91"/>
      <c r="J23" s="91"/>
      <c r="K23" s="91"/>
      <c r="L23" s="91"/>
      <c r="M23" s="261"/>
      <c r="N23" s="267"/>
      <c r="O23" s="268"/>
      <c r="P23" s="268"/>
      <c r="Q23" s="269">
        <v>2207624</v>
      </c>
      <c r="R23" s="268"/>
      <c r="S23" s="269">
        <v>2207624</v>
      </c>
      <c r="T23" s="269"/>
      <c r="U23" s="269"/>
      <c r="V23" s="268"/>
      <c r="W23" s="268"/>
      <c r="X23" s="6"/>
    </row>
    <row r="24" spans="1:24" ht="15.75" customHeight="1" x14ac:dyDescent="0.3">
      <c r="A24" s="260"/>
      <c r="B24" s="91"/>
      <c r="C24" s="91"/>
      <c r="D24" s="91" t="s">
        <v>551</v>
      </c>
      <c r="E24" s="91"/>
      <c r="F24" s="91"/>
      <c r="G24" s="91"/>
      <c r="H24" s="91"/>
      <c r="I24" s="91" t="s">
        <v>552</v>
      </c>
      <c r="J24" s="91"/>
      <c r="K24" s="91"/>
      <c r="L24" s="91"/>
      <c r="M24" s="261"/>
      <c r="N24" s="267"/>
      <c r="O24" s="268"/>
      <c r="P24" s="268"/>
      <c r="Q24" s="269">
        <v>2207624</v>
      </c>
      <c r="R24" s="268"/>
      <c r="S24" s="269">
        <v>2207624</v>
      </c>
      <c r="T24" s="269"/>
      <c r="U24" s="269"/>
      <c r="V24" s="268"/>
      <c r="W24" s="268"/>
      <c r="X24" s="6"/>
    </row>
    <row r="25" spans="1:24" ht="15.75" customHeight="1" x14ac:dyDescent="0.3">
      <c r="A25" s="260"/>
      <c r="B25" s="91"/>
      <c r="C25" s="91" t="s">
        <v>553</v>
      </c>
      <c r="D25" s="91"/>
      <c r="E25" s="91"/>
      <c r="F25" s="91"/>
      <c r="G25" s="91" t="s">
        <v>554</v>
      </c>
      <c r="H25" s="91"/>
      <c r="I25" s="91"/>
      <c r="J25" s="91"/>
      <c r="K25" s="91"/>
      <c r="L25" s="91"/>
      <c r="M25" s="261"/>
      <c r="N25" s="267"/>
      <c r="O25" s="268"/>
      <c r="P25" s="268"/>
      <c r="Q25" s="269">
        <v>2482294</v>
      </c>
      <c r="R25" s="268"/>
      <c r="S25" s="269">
        <v>2482294</v>
      </c>
      <c r="T25" s="269"/>
      <c r="U25" s="269"/>
      <c r="V25" s="268"/>
      <c r="W25" s="268"/>
      <c r="X25" s="6"/>
    </row>
    <row r="26" spans="1:24" ht="15.75" customHeight="1" x14ac:dyDescent="0.3">
      <c r="A26" s="260"/>
      <c r="B26" s="91"/>
      <c r="C26" s="91"/>
      <c r="D26" s="91" t="s">
        <v>555</v>
      </c>
      <c r="E26" s="91"/>
      <c r="F26" s="91"/>
      <c r="G26" s="91"/>
      <c r="H26" s="91"/>
      <c r="I26" s="91" t="s">
        <v>556</v>
      </c>
      <c r="J26" s="91"/>
      <c r="K26" s="91"/>
      <c r="L26" s="91"/>
      <c r="M26" s="261"/>
      <c r="N26" s="267"/>
      <c r="O26" s="268"/>
      <c r="P26" s="268"/>
      <c r="Q26" s="269">
        <v>2274294</v>
      </c>
      <c r="R26" s="268"/>
      <c r="S26" s="269">
        <v>2274294</v>
      </c>
      <c r="T26" s="269"/>
      <c r="U26" s="269"/>
      <c r="V26" s="268"/>
      <c r="W26" s="268"/>
      <c r="X26" s="6"/>
    </row>
    <row r="27" spans="1:24" ht="15.75" customHeight="1" x14ac:dyDescent="0.3">
      <c r="A27" s="260"/>
      <c r="B27" s="91"/>
      <c r="C27" s="91"/>
      <c r="D27" s="91" t="s">
        <v>557</v>
      </c>
      <c r="E27" s="91"/>
      <c r="F27" s="91"/>
      <c r="G27" s="91"/>
      <c r="H27" s="91"/>
      <c r="I27" s="91" t="s">
        <v>558</v>
      </c>
      <c r="J27" s="91"/>
      <c r="K27" s="91"/>
      <c r="L27" s="91"/>
      <c r="M27" s="261"/>
      <c r="N27" s="267"/>
      <c r="O27" s="268"/>
      <c r="P27" s="268"/>
      <c r="Q27" s="269">
        <v>208000</v>
      </c>
      <c r="R27" s="268"/>
      <c r="S27" s="269">
        <v>208000</v>
      </c>
      <c r="T27" s="269"/>
      <c r="U27" s="269"/>
      <c r="V27" s="268"/>
      <c r="W27" s="268"/>
      <c r="X27" s="6"/>
    </row>
    <row r="28" spans="1:24" ht="15.75" customHeight="1" x14ac:dyDescent="0.3">
      <c r="A28" s="260"/>
      <c r="B28" s="91" t="s">
        <v>517</v>
      </c>
      <c r="C28" s="91"/>
      <c r="D28" s="91"/>
      <c r="E28" s="91"/>
      <c r="F28" s="91" t="s">
        <v>559</v>
      </c>
      <c r="G28" s="91"/>
      <c r="H28" s="91"/>
      <c r="I28" s="91"/>
      <c r="J28" s="91"/>
      <c r="K28" s="91"/>
      <c r="L28" s="91"/>
      <c r="M28" s="261"/>
      <c r="N28" s="267"/>
      <c r="O28" s="269">
        <v>1020000</v>
      </c>
      <c r="P28" s="268"/>
      <c r="Q28" s="269">
        <v>877505</v>
      </c>
      <c r="R28" s="268"/>
      <c r="S28" s="269">
        <v>-142495</v>
      </c>
      <c r="T28" s="269"/>
      <c r="U28" s="269"/>
      <c r="V28" s="268"/>
      <c r="W28" s="269" t="s">
        <v>560</v>
      </c>
      <c r="X28" s="6"/>
    </row>
    <row r="29" spans="1:24" ht="15.75" customHeight="1" x14ac:dyDescent="0.3">
      <c r="A29" s="260"/>
      <c r="B29" s="91"/>
      <c r="C29" s="91" t="s">
        <v>518</v>
      </c>
      <c r="D29" s="91"/>
      <c r="E29" s="91"/>
      <c r="F29" s="91"/>
      <c r="G29" s="91" t="s">
        <v>561</v>
      </c>
      <c r="H29" s="91"/>
      <c r="I29" s="91"/>
      <c r="J29" s="91"/>
      <c r="K29" s="91"/>
      <c r="L29" s="91"/>
      <c r="M29" s="261"/>
      <c r="N29" s="267"/>
      <c r="O29" s="268"/>
      <c r="P29" s="268"/>
      <c r="Q29" s="269">
        <v>128099</v>
      </c>
      <c r="R29" s="268"/>
      <c r="S29" s="269">
        <v>128099</v>
      </c>
      <c r="T29" s="269"/>
      <c r="U29" s="269"/>
      <c r="V29" s="268"/>
      <c r="W29" s="268"/>
      <c r="X29" s="6"/>
    </row>
    <row r="30" spans="1:24" ht="15.75" customHeight="1" x14ac:dyDescent="0.3">
      <c r="A30" s="260"/>
      <c r="B30" s="91"/>
      <c r="C30" s="91"/>
      <c r="D30" s="91" t="s">
        <v>562</v>
      </c>
      <c r="E30" s="91"/>
      <c r="F30" s="91"/>
      <c r="G30" s="91"/>
      <c r="H30" s="91"/>
      <c r="I30" s="91" t="s">
        <v>563</v>
      </c>
      <c r="J30" s="91"/>
      <c r="K30" s="91"/>
      <c r="L30" s="91"/>
      <c r="M30" s="261"/>
      <c r="N30" s="267"/>
      <c r="O30" s="268"/>
      <c r="P30" s="268"/>
      <c r="Q30" s="269">
        <v>89413</v>
      </c>
      <c r="R30" s="268"/>
      <c r="S30" s="269">
        <v>89413</v>
      </c>
      <c r="T30" s="269"/>
      <c r="U30" s="269"/>
      <c r="V30" s="268"/>
      <c r="W30" s="268"/>
      <c r="X30" s="6"/>
    </row>
    <row r="31" spans="1:24" ht="15.75" customHeight="1" x14ac:dyDescent="0.3">
      <c r="A31" s="260"/>
      <c r="B31" s="91"/>
      <c r="C31" s="91"/>
      <c r="D31" s="91" t="s">
        <v>564</v>
      </c>
      <c r="E31" s="91"/>
      <c r="F31" s="91"/>
      <c r="G31" s="91"/>
      <c r="H31" s="91"/>
      <c r="I31" s="91" t="s">
        <v>565</v>
      </c>
      <c r="J31" s="91"/>
      <c r="K31" s="91"/>
      <c r="L31" s="91"/>
      <c r="M31" s="261"/>
      <c r="N31" s="267"/>
      <c r="O31" s="268"/>
      <c r="P31" s="268"/>
      <c r="Q31" s="269">
        <v>38686</v>
      </c>
      <c r="R31" s="268"/>
      <c r="S31" s="269">
        <v>38686</v>
      </c>
      <c r="T31" s="269"/>
      <c r="U31" s="269"/>
      <c r="V31" s="268"/>
      <c r="W31" s="268"/>
      <c r="X31" s="6"/>
    </row>
    <row r="32" spans="1:24" ht="15.75" customHeight="1" x14ac:dyDescent="0.3">
      <c r="A32" s="260"/>
      <c r="B32" s="91"/>
      <c r="C32" s="91" t="s">
        <v>566</v>
      </c>
      <c r="D32" s="91"/>
      <c r="E32" s="91"/>
      <c r="F32" s="91"/>
      <c r="G32" s="91" t="s">
        <v>567</v>
      </c>
      <c r="H32" s="91"/>
      <c r="I32" s="91"/>
      <c r="J32" s="91"/>
      <c r="K32" s="91"/>
      <c r="L32" s="91"/>
      <c r="M32" s="261"/>
      <c r="N32" s="267"/>
      <c r="O32" s="268"/>
      <c r="P32" s="268"/>
      <c r="Q32" s="269">
        <v>50774</v>
      </c>
      <c r="R32" s="268"/>
      <c r="S32" s="269">
        <v>50774</v>
      </c>
      <c r="T32" s="269"/>
      <c r="U32" s="269"/>
      <c r="V32" s="268"/>
      <c r="W32" s="268"/>
      <c r="X32" s="6"/>
    </row>
    <row r="33" spans="1:24" ht="15.75" customHeight="1" x14ac:dyDescent="0.3">
      <c r="A33" s="260"/>
      <c r="B33" s="91"/>
      <c r="C33" s="91"/>
      <c r="D33" s="91" t="s">
        <v>568</v>
      </c>
      <c r="E33" s="91"/>
      <c r="F33" s="91"/>
      <c r="G33" s="91"/>
      <c r="H33" s="91"/>
      <c r="I33" s="91" t="s">
        <v>569</v>
      </c>
      <c r="J33" s="91"/>
      <c r="K33" s="91"/>
      <c r="L33" s="91"/>
      <c r="M33" s="261"/>
      <c r="N33" s="267"/>
      <c r="O33" s="268"/>
      <c r="P33" s="268"/>
      <c r="Q33" s="269">
        <v>5345</v>
      </c>
      <c r="R33" s="268"/>
      <c r="S33" s="269">
        <v>5345</v>
      </c>
      <c r="T33" s="269"/>
      <c r="U33" s="269"/>
      <c r="V33" s="268"/>
      <c r="W33" s="268"/>
      <c r="X33" s="6"/>
    </row>
    <row r="34" spans="1:24" ht="15.75" customHeight="1" x14ac:dyDescent="0.3">
      <c r="A34" s="260"/>
      <c r="B34" s="91"/>
      <c r="C34" s="91"/>
      <c r="D34" s="91" t="s">
        <v>570</v>
      </c>
      <c r="E34" s="91"/>
      <c r="F34" s="91"/>
      <c r="G34" s="91"/>
      <c r="H34" s="91"/>
      <c r="I34" s="91" t="s">
        <v>571</v>
      </c>
      <c r="J34" s="91"/>
      <c r="K34" s="91"/>
      <c r="L34" s="91"/>
      <c r="M34" s="261"/>
      <c r="N34" s="267"/>
      <c r="O34" s="268"/>
      <c r="P34" s="268"/>
      <c r="Q34" s="269">
        <v>25929</v>
      </c>
      <c r="R34" s="268"/>
      <c r="S34" s="269">
        <v>25929</v>
      </c>
      <c r="T34" s="269"/>
      <c r="U34" s="269"/>
      <c r="V34" s="268"/>
      <c r="W34" s="268"/>
      <c r="X34" s="6"/>
    </row>
    <row r="35" spans="1:24" ht="15.75" customHeight="1" x14ac:dyDescent="0.3">
      <c r="A35" s="260"/>
      <c r="B35" s="91"/>
      <c r="C35" s="91"/>
      <c r="D35" s="91" t="s">
        <v>572</v>
      </c>
      <c r="E35" s="91"/>
      <c r="F35" s="91"/>
      <c r="G35" s="91"/>
      <c r="H35" s="91"/>
      <c r="I35" s="91" t="s">
        <v>573</v>
      </c>
      <c r="J35" s="91"/>
      <c r="K35" s="91"/>
      <c r="L35" s="91"/>
      <c r="M35" s="261"/>
      <c r="N35" s="267"/>
      <c r="O35" s="268"/>
      <c r="P35" s="268"/>
      <c r="Q35" s="269">
        <v>19500</v>
      </c>
      <c r="R35" s="268"/>
      <c r="S35" s="269">
        <v>19500</v>
      </c>
      <c r="T35" s="269"/>
      <c r="U35" s="269"/>
      <c r="V35" s="268"/>
      <c r="W35" s="268"/>
      <c r="X35" s="6"/>
    </row>
    <row r="36" spans="1:24" ht="15.75" customHeight="1" x14ac:dyDescent="0.3">
      <c r="A36" s="260"/>
      <c r="B36" s="91"/>
      <c r="C36" s="91" t="s">
        <v>574</v>
      </c>
      <c r="D36" s="91"/>
      <c r="E36" s="91"/>
      <c r="F36" s="91"/>
      <c r="G36" s="91" t="s">
        <v>575</v>
      </c>
      <c r="H36" s="91"/>
      <c r="I36" s="91"/>
      <c r="J36" s="91"/>
      <c r="K36" s="91"/>
      <c r="L36" s="91"/>
      <c r="M36" s="261"/>
      <c r="N36" s="267"/>
      <c r="O36" s="268"/>
      <c r="P36" s="268"/>
      <c r="Q36" s="269">
        <v>4498</v>
      </c>
      <c r="R36" s="268"/>
      <c r="S36" s="269">
        <v>4498</v>
      </c>
      <c r="T36" s="269"/>
      <c r="U36" s="269"/>
      <c r="V36" s="268"/>
      <c r="W36" s="268"/>
      <c r="X36" s="6"/>
    </row>
    <row r="37" spans="1:24" ht="15.6" customHeight="1" x14ac:dyDescent="0.3">
      <c r="A37" s="262"/>
      <c r="B37" s="92"/>
      <c r="C37" s="92"/>
      <c r="D37" s="92" t="s">
        <v>576</v>
      </c>
      <c r="E37" s="92"/>
      <c r="F37" s="92"/>
      <c r="G37" s="92"/>
      <c r="H37" s="92"/>
      <c r="I37" s="92" t="s">
        <v>577</v>
      </c>
      <c r="J37" s="92"/>
      <c r="K37" s="92"/>
      <c r="L37" s="92"/>
      <c r="M37" s="263"/>
      <c r="N37" s="270"/>
      <c r="O37" s="271"/>
      <c r="P37" s="271"/>
      <c r="Q37" s="272">
        <v>4498</v>
      </c>
      <c r="R37" s="271"/>
      <c r="S37" s="272">
        <v>4498</v>
      </c>
      <c r="T37" s="272"/>
      <c r="U37" s="272"/>
      <c r="V37" s="271"/>
      <c r="W37" s="271"/>
      <c r="X37" s="6"/>
    </row>
    <row r="38" spans="1:24" ht="15.75" customHeight="1" x14ac:dyDescent="0.3">
      <c r="A38" s="258"/>
      <c r="B38" s="90"/>
      <c r="C38" s="90" t="s">
        <v>578</v>
      </c>
      <c r="D38" s="90"/>
      <c r="E38" s="90"/>
      <c r="F38" s="90"/>
      <c r="G38" s="90" t="s">
        <v>579</v>
      </c>
      <c r="H38" s="90"/>
      <c r="I38" s="90"/>
      <c r="J38" s="90"/>
      <c r="K38" s="90"/>
      <c r="L38" s="90"/>
      <c r="M38" s="259"/>
      <c r="N38" s="264"/>
      <c r="O38" s="266"/>
      <c r="P38" s="266"/>
      <c r="Q38" s="265">
        <v>32332</v>
      </c>
      <c r="R38" s="266"/>
      <c r="S38" s="265">
        <v>32332</v>
      </c>
      <c r="T38" s="265"/>
      <c r="U38" s="265"/>
      <c r="V38" s="266"/>
      <c r="W38" s="266"/>
      <c r="X38" s="6"/>
    </row>
    <row r="39" spans="1:24" ht="15.75" customHeight="1" x14ac:dyDescent="0.3">
      <c r="A39" s="260"/>
      <c r="B39" s="91"/>
      <c r="C39" s="91"/>
      <c r="D39" s="91" t="s">
        <v>580</v>
      </c>
      <c r="E39" s="91"/>
      <c r="F39" s="91"/>
      <c r="G39" s="91"/>
      <c r="H39" s="91"/>
      <c r="I39" s="91" t="s">
        <v>581</v>
      </c>
      <c r="J39" s="91"/>
      <c r="K39" s="91"/>
      <c r="L39" s="91"/>
      <c r="M39" s="261"/>
      <c r="N39" s="267"/>
      <c r="O39" s="268"/>
      <c r="P39" s="268"/>
      <c r="Q39" s="269">
        <v>32332</v>
      </c>
      <c r="R39" s="268"/>
      <c r="S39" s="269">
        <v>32332</v>
      </c>
      <c r="T39" s="269"/>
      <c r="U39" s="269"/>
      <c r="V39" s="268"/>
      <c r="W39" s="268"/>
      <c r="X39" s="6"/>
    </row>
    <row r="40" spans="1:24" ht="15.75" customHeight="1" x14ac:dyDescent="0.3">
      <c r="A40" s="260"/>
      <c r="B40" s="91"/>
      <c r="C40" s="91" t="s">
        <v>582</v>
      </c>
      <c r="D40" s="91"/>
      <c r="E40" s="91"/>
      <c r="F40" s="91"/>
      <c r="G40" s="91" t="s">
        <v>583</v>
      </c>
      <c r="H40" s="91"/>
      <c r="I40" s="91"/>
      <c r="J40" s="91"/>
      <c r="K40" s="91"/>
      <c r="L40" s="91"/>
      <c r="M40" s="261"/>
      <c r="N40" s="267"/>
      <c r="O40" s="268"/>
      <c r="P40" s="268"/>
      <c r="Q40" s="269">
        <v>128741</v>
      </c>
      <c r="R40" s="268"/>
      <c r="S40" s="269">
        <v>128741</v>
      </c>
      <c r="T40" s="269"/>
      <c r="U40" s="269"/>
      <c r="V40" s="268"/>
      <c r="W40" s="268"/>
      <c r="X40" s="6"/>
    </row>
    <row r="41" spans="1:24" ht="15.75" customHeight="1" x14ac:dyDescent="0.3">
      <c r="A41" s="260"/>
      <c r="B41" s="91"/>
      <c r="C41" s="91"/>
      <c r="D41" s="91" t="s">
        <v>584</v>
      </c>
      <c r="E41" s="91"/>
      <c r="F41" s="91"/>
      <c r="G41" s="91"/>
      <c r="H41" s="91"/>
      <c r="I41" s="91" t="s">
        <v>585</v>
      </c>
      <c r="J41" s="91"/>
      <c r="K41" s="91"/>
      <c r="L41" s="91"/>
      <c r="M41" s="261"/>
      <c r="N41" s="267"/>
      <c r="O41" s="268"/>
      <c r="P41" s="268"/>
      <c r="Q41" s="269">
        <v>3620</v>
      </c>
      <c r="R41" s="268"/>
      <c r="S41" s="269">
        <v>3620</v>
      </c>
      <c r="T41" s="269"/>
      <c r="U41" s="269"/>
      <c r="V41" s="268"/>
      <c r="W41" s="268"/>
      <c r="X41" s="6"/>
    </row>
    <row r="42" spans="1:24" ht="15.75" customHeight="1" x14ac:dyDescent="0.3">
      <c r="A42" s="260"/>
      <c r="B42" s="91"/>
      <c r="C42" s="91"/>
      <c r="D42" s="91" t="s">
        <v>586</v>
      </c>
      <c r="E42" s="91"/>
      <c r="F42" s="91"/>
      <c r="G42" s="91"/>
      <c r="H42" s="91"/>
      <c r="I42" s="91" t="s">
        <v>587</v>
      </c>
      <c r="J42" s="91"/>
      <c r="K42" s="91"/>
      <c r="L42" s="91"/>
      <c r="M42" s="261"/>
      <c r="N42" s="267"/>
      <c r="O42" s="268"/>
      <c r="P42" s="268"/>
      <c r="Q42" s="269">
        <v>34100</v>
      </c>
      <c r="R42" s="268"/>
      <c r="S42" s="269">
        <v>34100</v>
      </c>
      <c r="T42" s="269"/>
      <c r="U42" s="269"/>
      <c r="V42" s="268"/>
      <c r="W42" s="268"/>
      <c r="X42" s="6"/>
    </row>
    <row r="43" spans="1:24" ht="15.75" customHeight="1" x14ac:dyDescent="0.3">
      <c r="A43" s="260"/>
      <c r="B43" s="91"/>
      <c r="C43" s="91"/>
      <c r="D43" s="91" t="s">
        <v>588</v>
      </c>
      <c r="E43" s="91"/>
      <c r="F43" s="91"/>
      <c r="G43" s="91"/>
      <c r="H43" s="91"/>
      <c r="I43" s="91" t="s">
        <v>589</v>
      </c>
      <c r="J43" s="91"/>
      <c r="K43" s="91"/>
      <c r="L43" s="91"/>
      <c r="M43" s="261"/>
      <c r="N43" s="267"/>
      <c r="O43" s="268"/>
      <c r="P43" s="268"/>
      <c r="Q43" s="269">
        <v>91021</v>
      </c>
      <c r="R43" s="268"/>
      <c r="S43" s="269">
        <v>91021</v>
      </c>
      <c r="T43" s="269"/>
      <c r="U43" s="269"/>
      <c r="V43" s="268"/>
      <c r="W43" s="268"/>
      <c r="X43" s="6"/>
    </row>
    <row r="44" spans="1:24" ht="15.75" customHeight="1" x14ac:dyDescent="0.3">
      <c r="A44" s="260"/>
      <c r="B44" s="91"/>
      <c r="C44" s="91" t="s">
        <v>590</v>
      </c>
      <c r="D44" s="91"/>
      <c r="E44" s="91"/>
      <c r="F44" s="91"/>
      <c r="G44" s="91" t="s">
        <v>591</v>
      </c>
      <c r="H44" s="91"/>
      <c r="I44" s="91"/>
      <c r="J44" s="91"/>
      <c r="K44" s="91"/>
      <c r="L44" s="91"/>
      <c r="M44" s="261"/>
      <c r="N44" s="267"/>
      <c r="O44" s="268"/>
      <c r="P44" s="268"/>
      <c r="Q44" s="269">
        <v>398601</v>
      </c>
      <c r="R44" s="268"/>
      <c r="S44" s="269">
        <v>398601</v>
      </c>
      <c r="T44" s="269"/>
      <c r="U44" s="269"/>
      <c r="V44" s="268"/>
      <c r="W44" s="268"/>
      <c r="X44" s="6"/>
    </row>
    <row r="45" spans="1:24" ht="15.75" customHeight="1" x14ac:dyDescent="0.3">
      <c r="A45" s="260"/>
      <c r="B45" s="91"/>
      <c r="C45" s="91"/>
      <c r="D45" s="91" t="s">
        <v>592</v>
      </c>
      <c r="E45" s="91"/>
      <c r="F45" s="91"/>
      <c r="G45" s="91"/>
      <c r="H45" s="91"/>
      <c r="I45" s="91" t="s">
        <v>593</v>
      </c>
      <c r="J45" s="91"/>
      <c r="K45" s="91"/>
      <c r="L45" s="91"/>
      <c r="M45" s="261"/>
      <c r="N45" s="267"/>
      <c r="O45" s="268"/>
      <c r="P45" s="268"/>
      <c r="Q45" s="269">
        <v>379401</v>
      </c>
      <c r="R45" s="268"/>
      <c r="S45" s="269">
        <v>379401</v>
      </c>
      <c r="T45" s="269"/>
      <c r="U45" s="269"/>
      <c r="V45" s="268"/>
      <c r="W45" s="268"/>
      <c r="X45" s="6"/>
    </row>
    <row r="46" spans="1:24" ht="15.75" customHeight="1" x14ac:dyDescent="0.3">
      <c r="A46" s="260"/>
      <c r="B46" s="91"/>
      <c r="C46" s="91"/>
      <c r="D46" s="91" t="s">
        <v>594</v>
      </c>
      <c r="E46" s="91"/>
      <c r="F46" s="91"/>
      <c r="G46" s="91"/>
      <c r="H46" s="91"/>
      <c r="I46" s="91" t="s">
        <v>595</v>
      </c>
      <c r="J46" s="91"/>
      <c r="K46" s="91"/>
      <c r="L46" s="91"/>
      <c r="M46" s="261"/>
      <c r="N46" s="267"/>
      <c r="O46" s="268"/>
      <c r="P46" s="268"/>
      <c r="Q46" s="269">
        <v>19200</v>
      </c>
      <c r="R46" s="268"/>
      <c r="S46" s="269">
        <v>19200</v>
      </c>
      <c r="T46" s="269"/>
      <c r="U46" s="269"/>
      <c r="V46" s="268"/>
      <c r="W46" s="268"/>
      <c r="X46" s="6"/>
    </row>
    <row r="47" spans="1:24" ht="15.75" customHeight="1" x14ac:dyDescent="0.3">
      <c r="A47" s="260"/>
      <c r="B47" s="91"/>
      <c r="C47" s="91" t="s">
        <v>521</v>
      </c>
      <c r="D47" s="91"/>
      <c r="E47" s="91"/>
      <c r="F47" s="91"/>
      <c r="G47" s="91" t="s">
        <v>596</v>
      </c>
      <c r="H47" s="91"/>
      <c r="I47" s="91"/>
      <c r="J47" s="91"/>
      <c r="K47" s="91"/>
      <c r="L47" s="91"/>
      <c r="M47" s="261"/>
      <c r="N47" s="267"/>
      <c r="O47" s="268"/>
      <c r="P47" s="268"/>
      <c r="Q47" s="269">
        <v>98460</v>
      </c>
      <c r="R47" s="268"/>
      <c r="S47" s="269">
        <v>98460</v>
      </c>
      <c r="T47" s="269"/>
      <c r="U47" s="269"/>
      <c r="V47" s="268"/>
      <c r="W47" s="268"/>
      <c r="X47" s="6"/>
    </row>
    <row r="48" spans="1:24" ht="15.75" customHeight="1" x14ac:dyDescent="0.3">
      <c r="A48" s="260"/>
      <c r="B48" s="91"/>
      <c r="C48" s="91"/>
      <c r="D48" s="91" t="s">
        <v>597</v>
      </c>
      <c r="E48" s="91"/>
      <c r="F48" s="91"/>
      <c r="G48" s="91"/>
      <c r="H48" s="91"/>
      <c r="I48" s="91" t="s">
        <v>598</v>
      </c>
      <c r="J48" s="91"/>
      <c r="K48" s="91"/>
      <c r="L48" s="91"/>
      <c r="M48" s="261"/>
      <c r="N48" s="267"/>
      <c r="O48" s="268"/>
      <c r="P48" s="268"/>
      <c r="Q48" s="269">
        <v>22660</v>
      </c>
      <c r="R48" s="268"/>
      <c r="S48" s="269">
        <v>22660</v>
      </c>
      <c r="T48" s="269"/>
      <c r="U48" s="269"/>
      <c r="V48" s="268"/>
      <c r="W48" s="268"/>
      <c r="X48" s="6"/>
    </row>
    <row r="49" spans="1:24" ht="15.75" customHeight="1" x14ac:dyDescent="0.3">
      <c r="A49" s="260"/>
      <c r="B49" s="91"/>
      <c r="C49" s="91"/>
      <c r="D49" s="91" t="s">
        <v>599</v>
      </c>
      <c r="E49" s="91"/>
      <c r="F49" s="91"/>
      <c r="G49" s="91"/>
      <c r="H49" s="91"/>
      <c r="I49" s="91" t="s">
        <v>600</v>
      </c>
      <c r="J49" s="91"/>
      <c r="K49" s="91"/>
      <c r="L49" s="91"/>
      <c r="M49" s="261"/>
      <c r="N49" s="267"/>
      <c r="O49" s="268"/>
      <c r="P49" s="268"/>
      <c r="Q49" s="269">
        <v>9800</v>
      </c>
      <c r="R49" s="268"/>
      <c r="S49" s="269">
        <v>9800</v>
      </c>
      <c r="T49" s="269"/>
      <c r="U49" s="269"/>
      <c r="V49" s="268"/>
      <c r="W49" s="268"/>
      <c r="X49" s="6"/>
    </row>
    <row r="50" spans="1:24" ht="15.75" customHeight="1" x14ac:dyDescent="0.3">
      <c r="A50" s="260"/>
      <c r="B50" s="91"/>
      <c r="C50" s="91"/>
      <c r="D50" s="91" t="s">
        <v>601</v>
      </c>
      <c r="E50" s="91"/>
      <c r="F50" s="91"/>
      <c r="G50" s="91"/>
      <c r="H50" s="91"/>
      <c r="I50" s="91" t="s">
        <v>602</v>
      </c>
      <c r="J50" s="91"/>
      <c r="K50" s="91"/>
      <c r="L50" s="91"/>
      <c r="M50" s="261"/>
      <c r="N50" s="267"/>
      <c r="O50" s="268"/>
      <c r="P50" s="268"/>
      <c r="Q50" s="269">
        <v>66000</v>
      </c>
      <c r="R50" s="268"/>
      <c r="S50" s="269">
        <v>66000</v>
      </c>
      <c r="T50" s="269"/>
      <c r="U50" s="269"/>
      <c r="V50" s="268"/>
      <c r="W50" s="268"/>
      <c r="X50" s="6"/>
    </row>
    <row r="51" spans="1:24" ht="15.75" customHeight="1" x14ac:dyDescent="0.3">
      <c r="A51" s="260"/>
      <c r="B51" s="91"/>
      <c r="C51" s="91" t="s">
        <v>603</v>
      </c>
      <c r="D51" s="91"/>
      <c r="E51" s="91"/>
      <c r="F51" s="91"/>
      <c r="G51" s="91" t="s">
        <v>604</v>
      </c>
      <c r="H51" s="91"/>
      <c r="I51" s="91"/>
      <c r="J51" s="91"/>
      <c r="K51" s="91"/>
      <c r="L51" s="91"/>
      <c r="M51" s="261"/>
      <c r="N51" s="267"/>
      <c r="O51" s="268"/>
      <c r="P51" s="268"/>
      <c r="Q51" s="269">
        <v>36000</v>
      </c>
      <c r="R51" s="268"/>
      <c r="S51" s="269">
        <v>36000</v>
      </c>
      <c r="T51" s="269"/>
      <c r="U51" s="269"/>
      <c r="V51" s="268"/>
      <c r="W51" s="268"/>
      <c r="X51" s="6"/>
    </row>
    <row r="52" spans="1:24" ht="15.75" customHeight="1" x14ac:dyDescent="0.3">
      <c r="A52" s="260"/>
      <c r="B52" s="91"/>
      <c r="C52" s="91"/>
      <c r="D52" s="91" t="s">
        <v>605</v>
      </c>
      <c r="E52" s="91"/>
      <c r="F52" s="91"/>
      <c r="G52" s="91"/>
      <c r="H52" s="91"/>
      <c r="I52" s="91" t="s">
        <v>604</v>
      </c>
      <c r="J52" s="91"/>
      <c r="K52" s="91"/>
      <c r="L52" s="91"/>
      <c r="M52" s="261"/>
      <c r="N52" s="267"/>
      <c r="O52" s="268"/>
      <c r="P52" s="268"/>
      <c r="Q52" s="269">
        <v>36000</v>
      </c>
      <c r="R52" s="268"/>
      <c r="S52" s="269">
        <v>36000</v>
      </c>
      <c r="T52" s="269"/>
      <c r="U52" s="269"/>
      <c r="V52" s="268"/>
      <c r="W52" s="268"/>
      <c r="X52" s="6"/>
    </row>
    <row r="53" spans="1:24" ht="15.75" customHeight="1" x14ac:dyDescent="0.3">
      <c r="A53" s="260"/>
      <c r="B53" s="91" t="s">
        <v>524</v>
      </c>
      <c r="C53" s="91"/>
      <c r="D53" s="91"/>
      <c r="E53" s="91"/>
      <c r="F53" s="91" t="s">
        <v>606</v>
      </c>
      <c r="G53" s="91"/>
      <c r="H53" s="91"/>
      <c r="I53" s="91"/>
      <c r="J53" s="91"/>
      <c r="K53" s="91"/>
      <c r="L53" s="91"/>
      <c r="M53" s="261"/>
      <c r="N53" s="267"/>
      <c r="O53" s="268">
        <v>150000</v>
      </c>
      <c r="P53" s="268"/>
      <c r="Q53" s="269">
        <v>73293</v>
      </c>
      <c r="R53" s="268"/>
      <c r="S53" s="269">
        <v>-76707</v>
      </c>
      <c r="T53" s="269"/>
      <c r="U53" s="269"/>
      <c r="V53" s="268"/>
      <c r="W53" s="268" t="s">
        <v>607</v>
      </c>
      <c r="X53" s="6"/>
    </row>
    <row r="54" spans="1:24" ht="15.75" customHeight="1" x14ac:dyDescent="0.3">
      <c r="A54" s="260"/>
      <c r="B54" s="91"/>
      <c r="C54" s="91" t="s">
        <v>608</v>
      </c>
      <c r="D54" s="91"/>
      <c r="E54" s="91"/>
      <c r="F54" s="91"/>
      <c r="G54" s="91" t="s">
        <v>609</v>
      </c>
      <c r="H54" s="91"/>
      <c r="I54" s="91"/>
      <c r="J54" s="91"/>
      <c r="K54" s="91"/>
      <c r="L54" s="91"/>
      <c r="M54" s="261"/>
      <c r="N54" s="267"/>
      <c r="O54" s="269"/>
      <c r="P54" s="268"/>
      <c r="Q54" s="269">
        <v>73293</v>
      </c>
      <c r="R54" s="268"/>
      <c r="S54" s="269">
        <v>73293</v>
      </c>
      <c r="T54" s="269"/>
      <c r="U54" s="269"/>
      <c r="V54" s="268"/>
      <c r="W54" s="269"/>
      <c r="X54" s="6"/>
    </row>
    <row r="55" spans="1:24" ht="15.75" customHeight="1" x14ac:dyDescent="0.3">
      <c r="A55" s="260"/>
      <c r="B55" s="91"/>
      <c r="C55" s="91"/>
      <c r="D55" s="91" t="s">
        <v>610</v>
      </c>
      <c r="E55" s="91"/>
      <c r="F55" s="91"/>
      <c r="G55" s="91"/>
      <c r="H55" s="91"/>
      <c r="I55" s="91" t="s">
        <v>611</v>
      </c>
      <c r="J55" s="91"/>
      <c r="K55" s="91"/>
      <c r="L55" s="91"/>
      <c r="M55" s="261"/>
      <c r="N55" s="267"/>
      <c r="O55" s="268"/>
      <c r="P55" s="268"/>
      <c r="Q55" s="269">
        <v>11807</v>
      </c>
      <c r="R55" s="268"/>
      <c r="S55" s="269">
        <v>11807</v>
      </c>
      <c r="T55" s="269"/>
      <c r="U55" s="269"/>
      <c r="V55" s="268"/>
      <c r="W55" s="268"/>
      <c r="X55" s="6"/>
    </row>
    <row r="56" spans="1:24" ht="15.75" customHeight="1" x14ac:dyDescent="0.3">
      <c r="A56" s="260"/>
      <c r="B56" s="91"/>
      <c r="C56" s="91"/>
      <c r="D56" s="91" t="s">
        <v>612</v>
      </c>
      <c r="E56" s="91"/>
      <c r="F56" s="91"/>
      <c r="G56" s="91"/>
      <c r="H56" s="91"/>
      <c r="I56" s="91" t="s">
        <v>613</v>
      </c>
      <c r="J56" s="91"/>
      <c r="K56" s="91"/>
      <c r="L56" s="91"/>
      <c r="M56" s="261"/>
      <c r="N56" s="267"/>
      <c r="O56" s="268"/>
      <c r="P56" s="268"/>
      <c r="Q56" s="269">
        <v>26301</v>
      </c>
      <c r="R56" s="268"/>
      <c r="S56" s="269">
        <v>26301</v>
      </c>
      <c r="T56" s="269"/>
      <c r="U56" s="269"/>
      <c r="V56" s="268"/>
      <c r="W56" s="268"/>
      <c r="X56" s="6"/>
    </row>
    <row r="57" spans="1:24" ht="15.75" customHeight="1" x14ac:dyDescent="0.3">
      <c r="A57" s="260"/>
      <c r="B57" s="91"/>
      <c r="C57" s="91"/>
      <c r="D57" s="91" t="s">
        <v>614</v>
      </c>
      <c r="E57" s="91"/>
      <c r="F57" s="91"/>
      <c r="G57" s="91"/>
      <c r="H57" s="91"/>
      <c r="I57" s="91" t="s">
        <v>615</v>
      </c>
      <c r="J57" s="91"/>
      <c r="K57" s="91"/>
      <c r="L57" s="91"/>
      <c r="M57" s="261"/>
      <c r="N57" s="267"/>
      <c r="O57" s="268"/>
      <c r="P57" s="268"/>
      <c r="Q57" s="269">
        <v>2030</v>
      </c>
      <c r="R57" s="268"/>
      <c r="S57" s="269">
        <v>2030</v>
      </c>
      <c r="T57" s="269"/>
      <c r="U57" s="269"/>
      <c r="V57" s="268"/>
      <c r="W57" s="268"/>
      <c r="X57" s="6"/>
    </row>
    <row r="58" spans="1:24" ht="15.75" customHeight="1" x14ac:dyDescent="0.3">
      <c r="A58" s="260"/>
      <c r="B58" s="91"/>
      <c r="C58" s="91"/>
      <c r="D58" s="91" t="s">
        <v>616</v>
      </c>
      <c r="E58" s="91"/>
      <c r="F58" s="91"/>
      <c r="G58" s="91"/>
      <c r="H58" s="91"/>
      <c r="I58" s="91" t="s">
        <v>617</v>
      </c>
      <c r="J58" s="91"/>
      <c r="K58" s="91"/>
      <c r="L58" s="91"/>
      <c r="M58" s="261"/>
      <c r="N58" s="267"/>
      <c r="O58" s="268"/>
      <c r="P58" s="268"/>
      <c r="Q58" s="269">
        <v>33155</v>
      </c>
      <c r="R58" s="268"/>
      <c r="S58" s="269">
        <v>33155</v>
      </c>
      <c r="T58" s="269"/>
      <c r="U58" s="269"/>
      <c r="V58" s="268"/>
      <c r="W58" s="268"/>
      <c r="X58" s="6"/>
    </row>
    <row r="59" spans="1:24" ht="15.75" customHeight="1" x14ac:dyDescent="0.3">
      <c r="A59" s="260"/>
      <c r="B59" s="91" t="s">
        <v>618</v>
      </c>
      <c r="C59" s="91"/>
      <c r="D59" s="91"/>
      <c r="E59" s="91"/>
      <c r="F59" s="91" t="s">
        <v>619</v>
      </c>
      <c r="G59" s="91"/>
      <c r="H59" s="91"/>
      <c r="I59" s="91"/>
      <c r="J59" s="91"/>
      <c r="K59" s="91"/>
      <c r="L59" s="91"/>
      <c r="M59" s="261"/>
      <c r="N59" s="267"/>
      <c r="O59" s="268">
        <v>376000</v>
      </c>
      <c r="P59" s="268"/>
      <c r="Q59" s="269">
        <v>387175</v>
      </c>
      <c r="R59" s="268"/>
      <c r="S59" s="269">
        <v>11175</v>
      </c>
      <c r="T59" s="269"/>
      <c r="U59" s="269"/>
      <c r="V59" s="268"/>
      <c r="W59" s="268" t="s">
        <v>620</v>
      </c>
      <c r="X59" s="6"/>
    </row>
    <row r="60" spans="1:24" ht="15.75" customHeight="1" x14ac:dyDescent="0.3">
      <c r="A60" s="260"/>
      <c r="B60" s="91"/>
      <c r="C60" s="91" t="s">
        <v>621</v>
      </c>
      <c r="D60" s="91"/>
      <c r="E60" s="91"/>
      <c r="F60" s="91"/>
      <c r="G60" s="91" t="s">
        <v>622</v>
      </c>
      <c r="H60" s="91"/>
      <c r="I60" s="91"/>
      <c r="J60" s="91"/>
      <c r="K60" s="91"/>
      <c r="L60" s="91"/>
      <c r="M60" s="261"/>
      <c r="N60" s="267"/>
      <c r="O60" s="268"/>
      <c r="P60" s="268"/>
      <c r="Q60" s="269">
        <v>294112</v>
      </c>
      <c r="R60" s="268"/>
      <c r="S60" s="269">
        <v>294112</v>
      </c>
      <c r="T60" s="269"/>
      <c r="U60" s="269"/>
      <c r="V60" s="268"/>
      <c r="W60" s="268"/>
      <c r="X60" s="6"/>
    </row>
    <row r="61" spans="1:24" ht="15.75" customHeight="1" x14ac:dyDescent="0.3">
      <c r="A61" s="260"/>
      <c r="B61" s="91"/>
      <c r="C61" s="91"/>
      <c r="D61" s="91" t="s">
        <v>623</v>
      </c>
      <c r="E61" s="91"/>
      <c r="F61" s="91"/>
      <c r="G61" s="91"/>
      <c r="H61" s="91"/>
      <c r="I61" s="91" t="s">
        <v>624</v>
      </c>
      <c r="J61" s="91"/>
      <c r="K61" s="91"/>
      <c r="L61" s="91"/>
      <c r="M61" s="261"/>
      <c r="N61" s="267"/>
      <c r="O61" s="268"/>
      <c r="P61" s="268"/>
      <c r="Q61" s="269">
        <v>294112</v>
      </c>
      <c r="R61" s="268"/>
      <c r="S61" s="269">
        <v>294112</v>
      </c>
      <c r="T61" s="269"/>
      <c r="U61" s="269"/>
      <c r="V61" s="268"/>
      <c r="W61" s="268"/>
      <c r="X61" s="6"/>
    </row>
    <row r="62" spans="1:24" ht="15.75" customHeight="1" x14ac:dyDescent="0.3">
      <c r="A62" s="260"/>
      <c r="B62" s="91"/>
      <c r="C62" s="91" t="s">
        <v>625</v>
      </c>
      <c r="D62" s="91"/>
      <c r="E62" s="91"/>
      <c r="F62" s="91"/>
      <c r="G62" s="91" t="s">
        <v>626</v>
      </c>
      <c r="H62" s="91"/>
      <c r="I62" s="91"/>
      <c r="J62" s="91"/>
      <c r="K62" s="91"/>
      <c r="L62" s="91"/>
      <c r="M62" s="261"/>
      <c r="N62" s="267"/>
      <c r="O62" s="268"/>
      <c r="P62" s="268"/>
      <c r="Q62" s="269">
        <v>93063</v>
      </c>
      <c r="R62" s="268"/>
      <c r="S62" s="269">
        <v>93063</v>
      </c>
      <c r="T62" s="269"/>
      <c r="U62" s="269"/>
      <c r="V62" s="268"/>
      <c r="W62" s="268"/>
      <c r="X62" s="6"/>
    </row>
    <row r="63" spans="1:24" ht="15.75" customHeight="1" x14ac:dyDescent="0.3">
      <c r="A63" s="262"/>
      <c r="B63" s="92"/>
      <c r="C63" s="92"/>
      <c r="D63" s="92" t="s">
        <v>627</v>
      </c>
      <c r="E63" s="92"/>
      <c r="F63" s="92"/>
      <c r="G63" s="92"/>
      <c r="H63" s="92"/>
      <c r="I63" s="92" t="s">
        <v>626</v>
      </c>
      <c r="J63" s="92"/>
      <c r="K63" s="92"/>
      <c r="L63" s="92"/>
      <c r="M63" s="263"/>
      <c r="N63" s="270"/>
      <c r="O63" s="271"/>
      <c r="P63" s="271"/>
      <c r="Q63" s="272">
        <v>93063</v>
      </c>
      <c r="R63" s="271"/>
      <c r="S63" s="272">
        <v>93063</v>
      </c>
      <c r="T63" s="272"/>
      <c r="U63" s="272"/>
      <c r="V63" s="271"/>
      <c r="W63" s="271"/>
      <c r="X63" s="6"/>
    </row>
    <row r="64" spans="1:24" ht="15.75" customHeight="1" x14ac:dyDescent="0.3">
      <c r="A64" s="258"/>
      <c r="B64" s="90" t="s">
        <v>628</v>
      </c>
      <c r="C64" s="90"/>
      <c r="D64" s="90"/>
      <c r="E64" s="90"/>
      <c r="F64" s="90" t="s">
        <v>629</v>
      </c>
      <c r="G64" s="90"/>
      <c r="H64" s="90"/>
      <c r="I64" s="90"/>
      <c r="J64" s="90"/>
      <c r="K64" s="90"/>
      <c r="L64" s="90"/>
      <c r="M64" s="259"/>
      <c r="N64" s="264"/>
      <c r="O64" s="265">
        <v>0</v>
      </c>
      <c r="P64" s="266"/>
      <c r="Q64" s="266">
        <v>300</v>
      </c>
      <c r="R64" s="266"/>
      <c r="S64" s="265">
        <v>300</v>
      </c>
      <c r="T64" s="265"/>
      <c r="U64" s="265"/>
      <c r="V64" s="266"/>
      <c r="W64" s="265"/>
      <c r="X64" s="6"/>
    </row>
    <row r="65" spans="1:24" ht="15.75" customHeight="1" x14ac:dyDescent="0.3">
      <c r="A65" s="260"/>
      <c r="B65" s="91"/>
      <c r="C65" s="91" t="s">
        <v>630</v>
      </c>
      <c r="D65" s="91"/>
      <c r="E65" s="91"/>
      <c r="F65" s="91"/>
      <c r="G65" s="91" t="s">
        <v>631</v>
      </c>
      <c r="H65" s="91"/>
      <c r="I65" s="91"/>
      <c r="J65" s="91"/>
      <c r="K65" s="91"/>
      <c r="L65" s="91"/>
      <c r="M65" s="261"/>
      <c r="N65" s="267"/>
      <c r="O65" s="269"/>
      <c r="P65" s="268"/>
      <c r="Q65" s="269">
        <v>300</v>
      </c>
      <c r="R65" s="268"/>
      <c r="S65" s="269">
        <v>300</v>
      </c>
      <c r="T65" s="269"/>
      <c r="U65" s="269"/>
      <c r="V65" s="268"/>
      <c r="W65" s="269"/>
      <c r="X65" s="6"/>
    </row>
    <row r="66" spans="1:24" ht="15.75" customHeight="1" x14ac:dyDescent="0.3">
      <c r="A66" s="260"/>
      <c r="B66" s="91"/>
      <c r="C66" s="91"/>
      <c r="D66" s="91" t="s">
        <v>632</v>
      </c>
      <c r="E66" s="91"/>
      <c r="F66" s="91"/>
      <c r="G66" s="91"/>
      <c r="H66" s="91"/>
      <c r="I66" s="91" t="s">
        <v>633</v>
      </c>
      <c r="J66" s="91"/>
      <c r="K66" s="91"/>
      <c r="L66" s="91"/>
      <c r="M66" s="261"/>
      <c r="N66" s="267"/>
      <c r="O66" s="269"/>
      <c r="P66" s="268"/>
      <c r="Q66" s="269">
        <v>300</v>
      </c>
      <c r="R66" s="268"/>
      <c r="S66" s="269">
        <v>300</v>
      </c>
      <c r="T66" s="269"/>
      <c r="U66" s="269"/>
      <c r="V66" s="268"/>
      <c r="W66" s="269"/>
      <c r="X66" s="6"/>
    </row>
    <row r="67" spans="1:24" ht="15.75" customHeight="1" x14ac:dyDescent="0.3">
      <c r="A67" s="260"/>
      <c r="B67" s="91" t="s">
        <v>634</v>
      </c>
      <c r="C67" s="91"/>
      <c r="D67" s="91"/>
      <c r="E67" s="91"/>
      <c r="F67" s="91" t="s">
        <v>635</v>
      </c>
      <c r="G67" s="91"/>
      <c r="H67" s="91"/>
      <c r="I67" s="91"/>
      <c r="J67" s="91"/>
      <c r="K67" s="91"/>
      <c r="L67" s="91"/>
      <c r="M67" s="261"/>
      <c r="N67" s="267"/>
      <c r="O67" s="269">
        <v>23000</v>
      </c>
      <c r="P67" s="268"/>
      <c r="Q67" s="269">
        <v>13910</v>
      </c>
      <c r="R67" s="268"/>
      <c r="S67" s="269">
        <v>-9090</v>
      </c>
      <c r="T67" s="269"/>
      <c r="U67" s="269"/>
      <c r="V67" s="268"/>
      <c r="W67" s="269" t="s">
        <v>636</v>
      </c>
      <c r="X67" s="6"/>
    </row>
    <row r="68" spans="1:24" ht="15.75" customHeight="1" x14ac:dyDescent="0.3">
      <c r="A68" s="260"/>
      <c r="B68" s="91"/>
      <c r="C68" s="91" t="s">
        <v>637</v>
      </c>
      <c r="D68" s="91"/>
      <c r="E68" s="91"/>
      <c r="F68" s="91"/>
      <c r="G68" s="91" t="s">
        <v>638</v>
      </c>
      <c r="H68" s="91"/>
      <c r="I68" s="91"/>
      <c r="J68" s="91"/>
      <c r="K68" s="91"/>
      <c r="L68" s="91"/>
      <c r="M68" s="261"/>
      <c r="N68" s="267"/>
      <c r="O68" s="269"/>
      <c r="P68" s="268"/>
      <c r="Q68" s="269">
        <v>1000</v>
      </c>
      <c r="R68" s="268"/>
      <c r="S68" s="269">
        <v>1000</v>
      </c>
      <c r="T68" s="269"/>
      <c r="U68" s="269"/>
      <c r="V68" s="268"/>
      <c r="W68" s="269"/>
      <c r="X68" s="6"/>
    </row>
    <row r="69" spans="1:24" ht="15.75" customHeight="1" x14ac:dyDescent="0.3">
      <c r="A69" s="260"/>
      <c r="B69" s="91"/>
      <c r="C69" s="91"/>
      <c r="D69" s="91" t="s">
        <v>639</v>
      </c>
      <c r="E69" s="91"/>
      <c r="F69" s="91"/>
      <c r="G69" s="91"/>
      <c r="H69" s="91"/>
      <c r="I69" s="91" t="s">
        <v>640</v>
      </c>
      <c r="J69" s="91"/>
      <c r="K69" s="91"/>
      <c r="L69" s="91"/>
      <c r="M69" s="261"/>
      <c r="N69" s="267"/>
      <c r="O69" s="269"/>
      <c r="P69" s="268"/>
      <c r="Q69" s="269">
        <v>1000</v>
      </c>
      <c r="R69" s="268"/>
      <c r="S69" s="269">
        <v>1000</v>
      </c>
      <c r="T69" s="269"/>
      <c r="U69" s="269"/>
      <c r="V69" s="268"/>
      <c r="W69" s="269"/>
      <c r="X69" s="6"/>
    </row>
    <row r="70" spans="1:24" ht="15.75" customHeight="1" x14ac:dyDescent="0.3">
      <c r="A70" s="260"/>
      <c r="B70" s="91"/>
      <c r="C70" s="91" t="s">
        <v>641</v>
      </c>
      <c r="D70" s="91"/>
      <c r="E70" s="91"/>
      <c r="F70" s="91"/>
      <c r="G70" s="91" t="s">
        <v>642</v>
      </c>
      <c r="H70" s="91"/>
      <c r="I70" s="91"/>
      <c r="J70" s="91"/>
      <c r="K70" s="91"/>
      <c r="L70" s="91"/>
      <c r="M70" s="261"/>
      <c r="N70" s="267"/>
      <c r="O70" s="268"/>
      <c r="P70" s="268"/>
      <c r="Q70" s="269">
        <v>12000</v>
      </c>
      <c r="R70" s="268"/>
      <c r="S70" s="269">
        <v>12000</v>
      </c>
      <c r="T70" s="269"/>
      <c r="U70" s="269"/>
      <c r="V70" s="268"/>
      <c r="W70" s="268"/>
      <c r="X70" s="6"/>
    </row>
    <row r="71" spans="1:24" ht="15.75" customHeight="1" x14ac:dyDescent="0.3">
      <c r="A71" s="260"/>
      <c r="B71" s="91"/>
      <c r="C71" s="91"/>
      <c r="D71" s="91" t="s">
        <v>643</v>
      </c>
      <c r="E71" s="91"/>
      <c r="F71" s="91"/>
      <c r="G71" s="91"/>
      <c r="H71" s="91"/>
      <c r="I71" s="91" t="s">
        <v>644</v>
      </c>
      <c r="J71" s="91"/>
      <c r="K71" s="91"/>
      <c r="L71" s="91"/>
      <c r="M71" s="261"/>
      <c r="N71" s="267"/>
      <c r="O71" s="268"/>
      <c r="P71" s="268"/>
      <c r="Q71" s="269">
        <v>12000</v>
      </c>
      <c r="R71" s="268"/>
      <c r="S71" s="269">
        <v>12000</v>
      </c>
      <c r="T71" s="269"/>
      <c r="U71" s="269"/>
      <c r="V71" s="268"/>
      <c r="W71" s="268"/>
      <c r="X71" s="6"/>
    </row>
    <row r="72" spans="1:24" ht="15.75" customHeight="1" x14ac:dyDescent="0.3">
      <c r="A72" s="260"/>
      <c r="B72" s="91"/>
      <c r="C72" s="91" t="s">
        <v>645</v>
      </c>
      <c r="D72" s="91"/>
      <c r="E72" s="91"/>
      <c r="F72" s="91"/>
      <c r="G72" s="91" t="s">
        <v>646</v>
      </c>
      <c r="H72" s="91"/>
      <c r="I72" s="91"/>
      <c r="J72" s="91"/>
      <c r="K72" s="91"/>
      <c r="L72" s="91"/>
      <c r="M72" s="261"/>
      <c r="N72" s="267"/>
      <c r="O72" s="268"/>
      <c r="P72" s="268"/>
      <c r="Q72" s="269">
        <v>910</v>
      </c>
      <c r="R72" s="268"/>
      <c r="S72" s="269">
        <v>910</v>
      </c>
      <c r="T72" s="269"/>
      <c r="U72" s="269"/>
      <c r="V72" s="268"/>
      <c r="W72" s="268"/>
      <c r="X72" s="6"/>
    </row>
    <row r="73" spans="1:24" ht="15.75" customHeight="1" x14ac:dyDescent="0.3">
      <c r="A73" s="260"/>
      <c r="B73" s="91"/>
      <c r="C73" s="91"/>
      <c r="D73" s="91" t="s">
        <v>647</v>
      </c>
      <c r="E73" s="91"/>
      <c r="F73" s="91"/>
      <c r="G73" s="91"/>
      <c r="H73" s="91"/>
      <c r="I73" s="91" t="s">
        <v>648</v>
      </c>
      <c r="J73" s="91"/>
      <c r="K73" s="91"/>
      <c r="L73" s="91"/>
      <c r="M73" s="261"/>
      <c r="N73" s="267"/>
      <c r="O73" s="268"/>
      <c r="P73" s="268"/>
      <c r="Q73" s="269">
        <v>910</v>
      </c>
      <c r="R73" s="268"/>
      <c r="S73" s="269">
        <v>910</v>
      </c>
      <c r="T73" s="269"/>
      <c r="U73" s="269"/>
      <c r="V73" s="268"/>
      <c r="W73" s="268"/>
      <c r="X73" s="6"/>
    </row>
    <row r="74" spans="1:24" ht="15.75" customHeight="1" x14ac:dyDescent="0.3">
      <c r="A74" s="260"/>
      <c r="B74" s="91" t="s">
        <v>649</v>
      </c>
      <c r="C74" s="91"/>
      <c r="D74" s="91"/>
      <c r="E74" s="91"/>
      <c r="F74" s="91" t="s">
        <v>208</v>
      </c>
      <c r="G74" s="91"/>
      <c r="H74" s="91"/>
      <c r="I74" s="91"/>
      <c r="J74" s="91"/>
      <c r="K74" s="91"/>
      <c r="L74" s="91"/>
      <c r="M74" s="261"/>
      <c r="N74" s="267"/>
      <c r="O74" s="268">
        <v>33000</v>
      </c>
      <c r="P74" s="268"/>
      <c r="Q74" s="269">
        <v>10420</v>
      </c>
      <c r="R74" s="268"/>
      <c r="S74" s="269">
        <v>-22580</v>
      </c>
      <c r="T74" s="269"/>
      <c r="U74" s="269"/>
      <c r="V74" s="268"/>
      <c r="W74" s="268" t="s">
        <v>650</v>
      </c>
      <c r="X74" s="6"/>
    </row>
    <row r="75" spans="1:24" ht="15.75" customHeight="1" x14ac:dyDescent="0.3">
      <c r="A75" s="260"/>
      <c r="B75" s="91"/>
      <c r="C75" s="91" t="s">
        <v>651</v>
      </c>
      <c r="D75" s="91"/>
      <c r="E75" s="91"/>
      <c r="F75" s="91"/>
      <c r="G75" s="91" t="s">
        <v>652</v>
      </c>
      <c r="H75" s="91"/>
      <c r="I75" s="91"/>
      <c r="J75" s="91"/>
      <c r="K75" s="91"/>
      <c r="L75" s="91"/>
      <c r="M75" s="261"/>
      <c r="N75" s="267"/>
      <c r="O75" s="268"/>
      <c r="P75" s="268"/>
      <c r="Q75" s="269">
        <v>10420</v>
      </c>
      <c r="R75" s="268"/>
      <c r="S75" s="269">
        <v>10420</v>
      </c>
      <c r="T75" s="269"/>
      <c r="U75" s="269"/>
      <c r="V75" s="268"/>
      <c r="W75" s="268"/>
      <c r="X75" s="6"/>
    </row>
    <row r="76" spans="1:24" ht="15.75" customHeight="1" x14ac:dyDescent="0.3">
      <c r="A76" s="260"/>
      <c r="B76" s="91"/>
      <c r="C76" s="91"/>
      <c r="D76" s="91" t="s">
        <v>653</v>
      </c>
      <c r="E76" s="91"/>
      <c r="F76" s="91"/>
      <c r="G76" s="91"/>
      <c r="H76" s="91"/>
      <c r="I76" s="91" t="s">
        <v>208</v>
      </c>
      <c r="J76" s="91"/>
      <c r="K76" s="91"/>
      <c r="L76" s="91"/>
      <c r="M76" s="261"/>
      <c r="N76" s="267"/>
      <c r="O76" s="268"/>
      <c r="P76" s="268"/>
      <c r="Q76" s="269">
        <v>10420</v>
      </c>
      <c r="R76" s="268"/>
      <c r="S76" s="269">
        <v>10420</v>
      </c>
      <c r="T76" s="269"/>
      <c r="U76" s="269"/>
      <c r="V76" s="268"/>
      <c r="W76" s="268"/>
      <c r="X76" s="6"/>
    </row>
    <row r="77" spans="1:24" ht="15.75" customHeight="1" x14ac:dyDescent="0.3">
      <c r="A77" s="260"/>
      <c r="B77" s="91"/>
      <c r="C77" s="91"/>
      <c r="D77" s="91" t="s">
        <v>654</v>
      </c>
      <c r="E77" s="91"/>
      <c r="F77" s="91"/>
      <c r="G77" s="91"/>
      <c r="H77" s="91"/>
      <c r="I77" s="91"/>
      <c r="J77" s="91"/>
      <c r="K77" s="91"/>
      <c r="L77" s="91"/>
      <c r="M77" s="261"/>
      <c r="N77" s="267"/>
      <c r="O77" s="268">
        <v>36156000</v>
      </c>
      <c r="P77" s="268"/>
      <c r="Q77" s="269">
        <v>36052768</v>
      </c>
      <c r="R77" s="268"/>
      <c r="S77" s="269">
        <v>-103232</v>
      </c>
      <c r="T77" s="269"/>
      <c r="U77" s="269"/>
      <c r="V77" s="268"/>
      <c r="W77" s="268" t="s">
        <v>655</v>
      </c>
      <c r="X77" s="6"/>
    </row>
    <row r="78" spans="1:24" ht="15.75" customHeight="1" x14ac:dyDescent="0.3">
      <c r="A78" s="260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261"/>
      <c r="N78" s="267"/>
      <c r="O78" s="268"/>
      <c r="P78" s="268"/>
      <c r="Q78" s="269"/>
      <c r="R78" s="268"/>
      <c r="S78" s="269"/>
      <c r="T78" s="269"/>
      <c r="U78" s="269"/>
      <c r="V78" s="268"/>
      <c r="W78" s="268"/>
      <c r="X78" s="6"/>
    </row>
    <row r="79" spans="1:24" ht="15.75" customHeight="1" x14ac:dyDescent="0.3">
      <c r="A79" s="260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261"/>
      <c r="N79" s="267"/>
      <c r="O79" s="268"/>
      <c r="P79" s="268"/>
      <c r="Q79" s="269"/>
      <c r="R79" s="268"/>
      <c r="S79" s="269"/>
      <c r="T79" s="269"/>
      <c r="U79" s="269"/>
      <c r="V79" s="268"/>
      <c r="W79" s="268"/>
      <c r="X79" s="6"/>
    </row>
    <row r="80" spans="1:24" ht="15.75" customHeight="1" x14ac:dyDescent="0.3">
      <c r="A80" s="260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261"/>
      <c r="N80" s="267"/>
      <c r="O80" s="268"/>
      <c r="P80" s="268"/>
      <c r="Q80" s="269"/>
      <c r="R80" s="268"/>
      <c r="S80" s="269"/>
      <c r="T80" s="269"/>
      <c r="U80" s="269"/>
      <c r="V80" s="268"/>
      <c r="W80" s="268"/>
      <c r="X80" s="6"/>
    </row>
    <row r="81" spans="1:24" ht="15.75" customHeight="1" x14ac:dyDescent="0.3">
      <c r="A81" s="260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261"/>
      <c r="N81" s="267"/>
      <c r="O81" s="268"/>
      <c r="P81" s="268"/>
      <c r="Q81" s="269"/>
      <c r="R81" s="268"/>
      <c r="S81" s="269"/>
      <c r="T81" s="269"/>
      <c r="U81" s="269"/>
      <c r="V81" s="268"/>
      <c r="W81" s="268"/>
      <c r="X81" s="6"/>
    </row>
    <row r="82" spans="1:24" ht="15.75" customHeight="1" x14ac:dyDescent="0.3">
      <c r="A82" s="260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261"/>
      <c r="N82" s="267"/>
      <c r="O82" s="268"/>
      <c r="P82" s="268"/>
      <c r="Q82" s="269"/>
      <c r="R82" s="268"/>
      <c r="S82" s="269"/>
      <c r="T82" s="269"/>
      <c r="U82" s="269"/>
      <c r="V82" s="268"/>
      <c r="W82" s="268"/>
      <c r="X82" s="6"/>
    </row>
    <row r="83" spans="1:24" ht="15.75" customHeight="1" x14ac:dyDescent="0.3">
      <c r="A83" s="260"/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261"/>
      <c r="N83" s="267"/>
      <c r="O83" s="269"/>
      <c r="P83" s="268"/>
      <c r="Q83" s="269"/>
      <c r="R83" s="268"/>
      <c r="S83" s="269"/>
      <c r="T83" s="269"/>
      <c r="U83" s="269"/>
      <c r="V83" s="268"/>
      <c r="W83" s="269"/>
      <c r="X83" s="6"/>
    </row>
    <row r="84" spans="1:24" ht="15.75" customHeight="1" x14ac:dyDescent="0.3">
      <c r="A84" s="260"/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261"/>
      <c r="N84" s="267"/>
      <c r="O84" s="268"/>
      <c r="P84" s="268"/>
      <c r="Q84" s="269"/>
      <c r="R84" s="268"/>
      <c r="S84" s="269"/>
      <c r="T84" s="269"/>
      <c r="U84" s="269"/>
      <c r="V84" s="268"/>
      <c r="W84" s="268"/>
      <c r="X84" s="6"/>
    </row>
    <row r="85" spans="1:24" ht="15.75" customHeight="1" x14ac:dyDescent="0.3">
      <c r="A85" s="260"/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261"/>
      <c r="N85" s="267"/>
      <c r="O85" s="268"/>
      <c r="P85" s="268"/>
      <c r="Q85" s="269"/>
      <c r="R85" s="268"/>
      <c r="S85" s="269"/>
      <c r="T85" s="269"/>
      <c r="U85" s="269"/>
      <c r="V85" s="268"/>
      <c r="W85" s="268"/>
      <c r="X85" s="6"/>
    </row>
    <row r="86" spans="1:24" ht="15.75" customHeight="1" x14ac:dyDescent="0.3">
      <c r="A86" s="93"/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263"/>
      <c r="N86" s="270"/>
      <c r="O86" s="272"/>
      <c r="P86" s="271"/>
      <c r="Q86" s="272"/>
      <c r="R86" s="271"/>
      <c r="S86" s="272"/>
      <c r="T86" s="272"/>
      <c r="U86" s="272"/>
      <c r="V86" s="271"/>
      <c r="W86" s="272"/>
      <c r="X86" s="6"/>
    </row>
    <row r="87" spans="1:24" ht="26.25" customHeight="1" x14ac:dyDescent="0.25">
      <c r="B87" s="245"/>
      <c r="C87" s="245"/>
      <c r="D87" s="245"/>
      <c r="E87" s="245"/>
      <c r="F87" s="245"/>
      <c r="G87" s="245"/>
      <c r="H87" s="245"/>
      <c r="I87" s="245"/>
      <c r="J87" s="245"/>
      <c r="K87" s="245"/>
      <c r="L87" s="245"/>
      <c r="M87" s="245"/>
      <c r="N87" s="245"/>
      <c r="O87" s="245"/>
      <c r="P87" s="245"/>
      <c r="Q87" s="245"/>
      <c r="R87" s="245"/>
      <c r="S87" s="245"/>
      <c r="T87" s="245"/>
      <c r="U87" s="245"/>
      <c r="V87" s="245"/>
      <c r="W87" s="245"/>
    </row>
    <row r="88" spans="1:24" ht="30" customHeight="1" x14ac:dyDescent="0.25">
      <c r="B88" s="245"/>
      <c r="C88" s="245"/>
      <c r="D88" s="245"/>
      <c r="E88" s="245"/>
      <c r="F88" s="245"/>
      <c r="G88" s="245"/>
      <c r="H88" s="245"/>
      <c r="I88" s="245"/>
      <c r="J88" s="245"/>
      <c r="K88" s="245"/>
      <c r="L88" s="245"/>
      <c r="M88" s="245"/>
      <c r="N88" s="245"/>
      <c r="O88" s="245"/>
      <c r="P88" s="245"/>
      <c r="Q88" s="245"/>
      <c r="R88" s="245"/>
      <c r="S88" s="245"/>
      <c r="T88" s="245"/>
      <c r="U88" s="245"/>
      <c r="V88" s="245"/>
      <c r="W88" s="245"/>
    </row>
    <row r="89" spans="1:24" ht="12.75" customHeight="1" x14ac:dyDescent="0.25">
      <c r="B89" s="245"/>
      <c r="C89" s="245"/>
      <c r="D89" s="245"/>
      <c r="E89" s="245"/>
      <c r="F89" s="245"/>
      <c r="G89" s="245"/>
      <c r="H89" s="245"/>
      <c r="I89" s="245"/>
      <c r="J89" s="245"/>
      <c r="K89" s="245"/>
      <c r="L89" s="245"/>
      <c r="M89" s="245"/>
      <c r="N89" s="245"/>
      <c r="O89" s="245"/>
      <c r="P89" s="245"/>
      <c r="Q89" s="245"/>
      <c r="R89" s="245"/>
      <c r="S89" s="245"/>
      <c r="T89" s="245"/>
      <c r="U89" s="245"/>
      <c r="V89" s="245"/>
      <c r="W89" s="245"/>
    </row>
    <row r="90" spans="1:24" ht="12.75" customHeight="1" x14ac:dyDescent="0.25">
      <c r="B90" s="245"/>
      <c r="C90" s="245"/>
      <c r="D90" s="245"/>
      <c r="E90" s="245"/>
      <c r="F90" s="245"/>
      <c r="G90" s="245"/>
      <c r="H90" s="245"/>
      <c r="I90" s="245"/>
      <c r="J90" s="245"/>
      <c r="K90" s="245"/>
      <c r="L90" s="245"/>
      <c r="M90" s="245"/>
      <c r="N90" s="245"/>
      <c r="O90" s="245"/>
      <c r="P90" s="245"/>
      <c r="Q90" s="245"/>
      <c r="R90" s="245"/>
      <c r="S90" s="245"/>
      <c r="T90" s="245"/>
      <c r="U90" s="245"/>
      <c r="V90" s="245"/>
      <c r="W90" s="245"/>
    </row>
    <row r="91" spans="1:24" ht="12.75" customHeight="1" x14ac:dyDescent="0.25">
      <c r="B91" s="245"/>
      <c r="C91" s="245"/>
      <c r="D91" s="245"/>
      <c r="E91" s="245"/>
      <c r="F91" s="245"/>
      <c r="G91" s="245"/>
      <c r="H91" s="245"/>
      <c r="I91" s="245"/>
      <c r="J91" s="245"/>
      <c r="K91" s="245"/>
      <c r="L91" s="245"/>
      <c r="M91" s="245"/>
      <c r="N91" s="245"/>
      <c r="O91" s="245"/>
      <c r="P91" s="245"/>
      <c r="Q91" s="245"/>
      <c r="R91" s="245"/>
      <c r="S91" s="245"/>
      <c r="T91" s="245"/>
      <c r="U91" s="245"/>
      <c r="V91" s="245"/>
      <c r="W91" s="245"/>
    </row>
    <row r="92" spans="1:24" ht="12.75" customHeight="1" x14ac:dyDescent="0.25">
      <c r="B92" s="245"/>
      <c r="C92" s="245"/>
      <c r="D92" s="245"/>
      <c r="E92" s="245"/>
      <c r="F92" s="245"/>
      <c r="G92" s="245"/>
      <c r="H92" s="245"/>
      <c r="I92" s="245"/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5"/>
      <c r="V92" s="245"/>
      <c r="W92" s="245"/>
    </row>
    <row r="93" spans="1:24" ht="12.75" customHeight="1" x14ac:dyDescent="0.25">
      <c r="B93" s="245"/>
      <c r="C93" s="245"/>
      <c r="D93" s="245"/>
      <c r="E93" s="245"/>
      <c r="F93" s="245"/>
      <c r="G93" s="245"/>
      <c r="H93" s="245"/>
      <c r="I93" s="245"/>
      <c r="J93" s="245"/>
      <c r="K93" s="245"/>
      <c r="L93" s="245"/>
      <c r="M93" s="245"/>
      <c r="N93" s="245"/>
      <c r="O93" s="245"/>
      <c r="P93" s="245"/>
      <c r="Q93" s="245"/>
      <c r="R93" s="245"/>
      <c r="S93" s="245"/>
      <c r="T93" s="245"/>
      <c r="U93" s="245"/>
      <c r="V93" s="245"/>
      <c r="W93" s="245"/>
    </row>
    <row r="94" spans="1:24" ht="12.75" customHeight="1" x14ac:dyDescent="0.25">
      <c r="B94" s="245"/>
      <c r="C94" s="245"/>
      <c r="D94" s="245"/>
      <c r="E94" s="245"/>
      <c r="F94" s="245"/>
      <c r="G94" s="245"/>
      <c r="H94" s="245"/>
      <c r="I94" s="245"/>
      <c r="J94" s="245"/>
      <c r="K94" s="245"/>
      <c r="L94" s="245"/>
      <c r="M94" s="245"/>
      <c r="N94" s="245"/>
      <c r="O94" s="245"/>
      <c r="P94" s="245"/>
      <c r="Q94" s="245"/>
      <c r="R94" s="245"/>
      <c r="S94" s="245"/>
      <c r="T94" s="245"/>
      <c r="U94" s="245"/>
      <c r="V94" s="245"/>
      <c r="W94" s="245"/>
    </row>
    <row r="95" spans="1:24" ht="12.75" customHeight="1" x14ac:dyDescent="0.25">
      <c r="B95" s="245"/>
      <c r="C95" s="245"/>
      <c r="D95" s="245"/>
      <c r="E95" s="245"/>
      <c r="F95" s="245"/>
      <c r="G95" s="245"/>
      <c r="H95" s="245"/>
      <c r="I95" s="245"/>
      <c r="J95" s="245"/>
      <c r="K95" s="245"/>
      <c r="L95" s="245"/>
      <c r="M95" s="245"/>
      <c r="N95" s="245"/>
      <c r="O95" s="245"/>
      <c r="P95" s="245"/>
      <c r="Q95" s="245"/>
      <c r="R95" s="245"/>
      <c r="S95" s="245"/>
      <c r="T95" s="245"/>
      <c r="U95" s="245"/>
      <c r="V95" s="245"/>
      <c r="W95" s="245"/>
    </row>
    <row r="96" spans="1:24" ht="12.75" customHeight="1" x14ac:dyDescent="0.25">
      <c r="B96" s="245"/>
      <c r="C96" s="245"/>
      <c r="D96" s="245"/>
      <c r="E96" s="245"/>
      <c r="F96" s="245"/>
      <c r="G96" s="245"/>
      <c r="H96" s="245"/>
      <c r="I96" s="245"/>
      <c r="J96" s="245"/>
      <c r="K96" s="245"/>
      <c r="L96" s="245"/>
      <c r="M96" s="245"/>
      <c r="N96" s="245"/>
      <c r="O96" s="245"/>
      <c r="P96" s="245"/>
      <c r="Q96" s="245"/>
      <c r="R96" s="245"/>
      <c r="S96" s="245"/>
      <c r="T96" s="245"/>
      <c r="U96" s="245"/>
      <c r="V96" s="245"/>
      <c r="W96" s="245"/>
    </row>
    <row r="97" spans="2:23" ht="12.75" customHeight="1" x14ac:dyDescent="0.25">
      <c r="B97" s="245"/>
      <c r="C97" s="245"/>
      <c r="D97" s="245"/>
      <c r="E97" s="245"/>
      <c r="F97" s="245"/>
      <c r="G97" s="245"/>
      <c r="H97" s="245"/>
      <c r="I97" s="245"/>
      <c r="J97" s="245"/>
      <c r="K97" s="245"/>
      <c r="L97" s="245"/>
      <c r="M97" s="245"/>
      <c r="N97" s="245"/>
      <c r="O97" s="245"/>
      <c r="P97" s="245"/>
      <c r="Q97" s="245"/>
      <c r="R97" s="245"/>
      <c r="S97" s="245"/>
      <c r="T97" s="245"/>
      <c r="U97" s="245"/>
      <c r="V97" s="245"/>
      <c r="W97" s="245"/>
    </row>
    <row r="98" spans="2:23" ht="12.75" customHeight="1" x14ac:dyDescent="0.25">
      <c r="B98" s="245"/>
      <c r="C98" s="245"/>
      <c r="D98" s="245"/>
      <c r="E98" s="245"/>
      <c r="F98" s="245"/>
      <c r="G98" s="245"/>
      <c r="H98" s="245"/>
      <c r="I98" s="245"/>
      <c r="J98" s="245"/>
      <c r="K98" s="245"/>
      <c r="L98" s="245"/>
      <c r="M98" s="245"/>
      <c r="N98" s="245"/>
      <c r="O98" s="245"/>
      <c r="P98" s="245"/>
      <c r="Q98" s="245"/>
      <c r="R98" s="245"/>
      <c r="S98" s="245"/>
      <c r="T98" s="245"/>
      <c r="U98" s="245"/>
      <c r="V98" s="245"/>
      <c r="W98" s="245"/>
    </row>
    <row r="99" spans="2:23" ht="12.75" customHeight="1" x14ac:dyDescent="0.25">
      <c r="B99" s="245"/>
      <c r="C99" s="245"/>
      <c r="D99" s="245"/>
      <c r="E99" s="245"/>
      <c r="F99" s="245"/>
      <c r="G99" s="245"/>
      <c r="H99" s="245"/>
      <c r="I99" s="245"/>
      <c r="J99" s="245"/>
      <c r="K99" s="245"/>
      <c r="L99" s="245"/>
      <c r="M99" s="245"/>
      <c r="N99" s="245"/>
      <c r="O99" s="245"/>
      <c r="P99" s="245"/>
      <c r="Q99" s="245"/>
      <c r="R99" s="245"/>
      <c r="S99" s="245"/>
      <c r="T99" s="245"/>
      <c r="U99" s="245"/>
      <c r="V99" s="245"/>
      <c r="W99" s="245"/>
    </row>
    <row r="100" spans="2:23" ht="12.75" customHeight="1" x14ac:dyDescent="0.25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  <c r="L100" s="245"/>
      <c r="M100" s="245"/>
      <c r="N100" s="245"/>
      <c r="O100" s="245"/>
      <c r="P100" s="245"/>
      <c r="Q100" s="245"/>
      <c r="R100" s="245"/>
      <c r="S100" s="245"/>
      <c r="T100" s="245"/>
      <c r="U100" s="245"/>
      <c r="V100" s="245"/>
      <c r="W100" s="245"/>
    </row>
    <row r="101" spans="2:23" ht="12.75" customHeight="1" x14ac:dyDescent="0.25">
      <c r="B101" s="245"/>
      <c r="C101" s="245"/>
      <c r="D101" s="245"/>
      <c r="E101" s="245"/>
      <c r="F101" s="245"/>
      <c r="G101" s="245"/>
      <c r="H101" s="245"/>
      <c r="I101" s="245"/>
      <c r="J101" s="245"/>
      <c r="K101" s="245"/>
      <c r="L101" s="245"/>
      <c r="M101" s="245"/>
      <c r="N101" s="245"/>
      <c r="O101" s="245"/>
      <c r="P101" s="245"/>
      <c r="Q101" s="245"/>
      <c r="R101" s="245"/>
      <c r="S101" s="245"/>
      <c r="T101" s="245"/>
      <c r="U101" s="245"/>
      <c r="V101" s="245"/>
      <c r="W101" s="245"/>
    </row>
    <row r="102" spans="2:23" ht="12.75" customHeight="1" x14ac:dyDescent="0.25">
      <c r="B102" s="245"/>
      <c r="C102" s="245"/>
      <c r="D102" s="245"/>
      <c r="E102" s="245"/>
      <c r="F102" s="245"/>
      <c r="G102" s="245"/>
      <c r="H102" s="245"/>
      <c r="I102" s="245"/>
      <c r="J102" s="245"/>
      <c r="K102" s="245"/>
      <c r="L102" s="245"/>
      <c r="M102" s="245"/>
      <c r="N102" s="245"/>
      <c r="O102" s="245"/>
      <c r="P102" s="245"/>
      <c r="Q102" s="245"/>
      <c r="R102" s="245"/>
      <c r="S102" s="245"/>
      <c r="T102" s="245"/>
      <c r="U102" s="245"/>
      <c r="V102" s="245"/>
      <c r="W102" s="245"/>
    </row>
    <row r="103" spans="2:23" ht="12.75" customHeight="1" x14ac:dyDescent="0.25">
      <c r="B103" s="245"/>
      <c r="C103" s="245"/>
      <c r="D103" s="245"/>
      <c r="E103" s="245"/>
      <c r="F103" s="245"/>
      <c r="G103" s="245"/>
      <c r="H103" s="245"/>
      <c r="I103" s="245"/>
      <c r="J103" s="245"/>
      <c r="K103" s="245"/>
      <c r="L103" s="245"/>
      <c r="M103" s="245"/>
      <c r="N103" s="245"/>
      <c r="O103" s="245"/>
      <c r="P103" s="245"/>
      <c r="Q103" s="245"/>
      <c r="R103" s="245"/>
      <c r="S103" s="245"/>
      <c r="T103" s="245"/>
      <c r="U103" s="245"/>
      <c r="V103" s="245"/>
      <c r="W103" s="245"/>
    </row>
    <row r="104" spans="2:23" ht="12.75" customHeight="1" x14ac:dyDescent="0.25">
      <c r="B104" s="245"/>
      <c r="C104" s="245"/>
      <c r="D104" s="245"/>
      <c r="E104" s="245"/>
      <c r="F104" s="245"/>
      <c r="G104" s="245"/>
      <c r="H104" s="245"/>
      <c r="I104" s="245"/>
      <c r="J104" s="245"/>
      <c r="K104" s="245"/>
      <c r="L104" s="245"/>
      <c r="M104" s="245"/>
      <c r="N104" s="245"/>
      <c r="O104" s="245"/>
      <c r="P104" s="245"/>
      <c r="Q104" s="245"/>
      <c r="R104" s="245"/>
      <c r="S104" s="245"/>
      <c r="T104" s="245"/>
      <c r="U104" s="245"/>
      <c r="V104" s="245"/>
      <c r="W104" s="245"/>
    </row>
    <row r="105" spans="2:23" ht="12.75" customHeight="1" x14ac:dyDescent="0.25">
      <c r="B105" s="245"/>
      <c r="C105" s="245"/>
      <c r="D105" s="245"/>
      <c r="E105" s="245"/>
      <c r="F105" s="245"/>
      <c r="G105" s="245"/>
      <c r="H105" s="245"/>
      <c r="I105" s="245"/>
      <c r="J105" s="245"/>
      <c r="K105" s="245"/>
      <c r="L105" s="245"/>
      <c r="M105" s="245"/>
      <c r="N105" s="245"/>
      <c r="O105" s="245"/>
      <c r="P105" s="245"/>
      <c r="Q105" s="245"/>
      <c r="R105" s="245"/>
      <c r="S105" s="245"/>
      <c r="T105" s="245"/>
      <c r="U105" s="245"/>
      <c r="V105" s="245"/>
      <c r="W105" s="245"/>
    </row>
    <row r="106" spans="2:23" ht="12.75" customHeight="1" x14ac:dyDescent="0.25">
      <c r="B106" s="245"/>
      <c r="C106" s="245"/>
      <c r="D106" s="245"/>
      <c r="E106" s="245"/>
      <c r="F106" s="245"/>
      <c r="G106" s="245"/>
      <c r="H106" s="245"/>
      <c r="I106" s="245"/>
      <c r="J106" s="245"/>
      <c r="K106" s="245"/>
      <c r="L106" s="245"/>
      <c r="M106" s="245"/>
      <c r="N106" s="245"/>
      <c r="O106" s="245"/>
      <c r="P106" s="245"/>
      <c r="Q106" s="245"/>
      <c r="R106" s="245"/>
      <c r="S106" s="245"/>
      <c r="T106" s="245"/>
      <c r="U106" s="245"/>
      <c r="V106" s="245"/>
      <c r="W106" s="245"/>
    </row>
    <row r="107" spans="2:23" ht="12.75" customHeight="1" x14ac:dyDescent="0.25">
      <c r="B107" s="245"/>
      <c r="C107" s="245"/>
      <c r="D107" s="245"/>
      <c r="E107" s="245"/>
      <c r="F107" s="245"/>
      <c r="G107" s="245"/>
      <c r="H107" s="245"/>
      <c r="I107" s="245"/>
      <c r="J107" s="245"/>
      <c r="K107" s="245"/>
      <c r="L107" s="245"/>
      <c r="M107" s="245"/>
      <c r="N107" s="245"/>
      <c r="O107" s="245"/>
      <c r="P107" s="245"/>
      <c r="Q107" s="245"/>
      <c r="R107" s="245"/>
      <c r="S107" s="245"/>
      <c r="T107" s="245"/>
      <c r="U107" s="245"/>
      <c r="V107" s="245"/>
      <c r="W107" s="245"/>
    </row>
    <row r="108" spans="2:23" ht="12.75" customHeight="1" x14ac:dyDescent="0.25">
      <c r="B108" s="245"/>
      <c r="C108" s="245"/>
      <c r="D108" s="245"/>
      <c r="E108" s="245"/>
      <c r="F108" s="245"/>
      <c r="G108" s="245"/>
      <c r="H108" s="245"/>
      <c r="I108" s="245"/>
      <c r="J108" s="245"/>
      <c r="K108" s="245"/>
      <c r="L108" s="245"/>
      <c r="M108" s="245"/>
      <c r="N108" s="245"/>
      <c r="O108" s="245"/>
      <c r="P108" s="245"/>
      <c r="Q108" s="245"/>
      <c r="R108" s="245"/>
      <c r="S108" s="245"/>
      <c r="T108" s="245"/>
      <c r="U108" s="245"/>
      <c r="V108" s="245"/>
      <c r="W108" s="245"/>
    </row>
    <row r="109" spans="2:23" ht="12.75" customHeight="1" x14ac:dyDescent="0.25">
      <c r="B109" s="245"/>
      <c r="C109" s="245"/>
      <c r="D109" s="245"/>
      <c r="E109" s="245"/>
      <c r="F109" s="245"/>
      <c r="G109" s="245"/>
      <c r="H109" s="245"/>
      <c r="I109" s="245"/>
      <c r="J109" s="245"/>
      <c r="K109" s="245"/>
      <c r="L109" s="245"/>
      <c r="M109" s="245"/>
      <c r="N109" s="245"/>
      <c r="O109" s="245"/>
      <c r="P109" s="245"/>
      <c r="Q109" s="245"/>
      <c r="R109" s="245"/>
      <c r="S109" s="245"/>
      <c r="T109" s="245"/>
      <c r="U109" s="245"/>
      <c r="V109" s="245"/>
      <c r="W109" s="245"/>
    </row>
    <row r="110" spans="2:23" ht="12.75" customHeight="1" x14ac:dyDescent="0.25">
      <c r="B110" s="245"/>
      <c r="C110" s="245"/>
      <c r="D110" s="245"/>
      <c r="E110" s="245"/>
      <c r="F110" s="245"/>
      <c r="G110" s="245"/>
      <c r="H110" s="245"/>
      <c r="I110" s="245"/>
      <c r="J110" s="245"/>
      <c r="K110" s="245"/>
      <c r="L110" s="245"/>
      <c r="M110" s="245"/>
      <c r="N110" s="245"/>
      <c r="O110" s="245"/>
      <c r="P110" s="245"/>
      <c r="Q110" s="245"/>
      <c r="R110" s="245"/>
      <c r="S110" s="245"/>
      <c r="T110" s="245"/>
      <c r="U110" s="245"/>
      <c r="V110" s="245"/>
      <c r="W110" s="245"/>
    </row>
    <row r="111" spans="2:23" ht="12.75" customHeight="1" x14ac:dyDescent="0.25">
      <c r="B111" s="245"/>
      <c r="C111" s="245"/>
      <c r="D111" s="245"/>
      <c r="E111" s="245"/>
      <c r="F111" s="245"/>
      <c r="G111" s="245"/>
      <c r="H111" s="245"/>
      <c r="I111" s="245"/>
      <c r="J111" s="245"/>
      <c r="K111" s="245"/>
      <c r="L111" s="245"/>
      <c r="M111" s="245"/>
      <c r="N111" s="245"/>
      <c r="O111" s="245"/>
      <c r="P111" s="245"/>
      <c r="Q111" s="245"/>
      <c r="R111" s="245"/>
      <c r="S111" s="245"/>
      <c r="T111" s="245"/>
      <c r="U111" s="245"/>
      <c r="V111" s="245"/>
      <c r="W111" s="245"/>
    </row>
    <row r="112" spans="2:23" ht="12.75" customHeight="1" x14ac:dyDescent="0.25">
      <c r="B112" s="245"/>
      <c r="C112" s="245"/>
      <c r="D112" s="245"/>
      <c r="E112" s="245"/>
      <c r="F112" s="245"/>
      <c r="G112" s="245"/>
      <c r="H112" s="245"/>
      <c r="I112" s="245"/>
      <c r="J112" s="245"/>
      <c r="K112" s="245"/>
      <c r="L112" s="245"/>
      <c r="M112" s="245"/>
      <c r="N112" s="245"/>
      <c r="O112" s="245"/>
      <c r="P112" s="245"/>
      <c r="Q112" s="245"/>
      <c r="R112" s="245"/>
      <c r="S112" s="245"/>
      <c r="T112" s="245"/>
      <c r="U112" s="245"/>
      <c r="V112" s="245"/>
      <c r="W112" s="245"/>
    </row>
    <row r="113" spans="2:23" ht="12.75" customHeight="1" x14ac:dyDescent="0.25">
      <c r="B113" s="245"/>
      <c r="C113" s="245"/>
      <c r="D113" s="245"/>
      <c r="E113" s="245"/>
      <c r="F113" s="245"/>
      <c r="G113" s="245"/>
      <c r="H113" s="245"/>
      <c r="I113" s="245"/>
      <c r="J113" s="245"/>
      <c r="K113" s="245"/>
      <c r="L113" s="245"/>
      <c r="M113" s="245"/>
      <c r="N113" s="245"/>
      <c r="O113" s="245"/>
      <c r="P113" s="245"/>
      <c r="Q113" s="245"/>
      <c r="R113" s="245"/>
      <c r="S113" s="245"/>
      <c r="T113" s="245"/>
      <c r="U113" s="245"/>
      <c r="V113" s="245"/>
      <c r="W113" s="245"/>
    </row>
    <row r="114" spans="2:23" ht="12.75" customHeight="1" x14ac:dyDescent="0.25">
      <c r="B114" s="245"/>
      <c r="C114" s="245"/>
      <c r="D114" s="245"/>
      <c r="E114" s="245"/>
      <c r="F114" s="245"/>
      <c r="G114" s="245"/>
      <c r="H114" s="245"/>
      <c r="I114" s="245"/>
      <c r="J114" s="245"/>
      <c r="K114" s="245"/>
      <c r="L114" s="245"/>
      <c r="M114" s="245"/>
      <c r="N114" s="245"/>
      <c r="O114" s="245"/>
      <c r="P114" s="245"/>
      <c r="Q114" s="245"/>
      <c r="R114" s="245"/>
      <c r="S114" s="245"/>
      <c r="T114" s="245"/>
      <c r="U114" s="245"/>
      <c r="V114" s="245"/>
      <c r="W114" s="245"/>
    </row>
    <row r="115" spans="2:23" ht="12.75" customHeight="1" x14ac:dyDescent="0.25">
      <c r="B115" s="245"/>
      <c r="C115" s="245"/>
      <c r="D115" s="245"/>
      <c r="E115" s="245"/>
      <c r="F115" s="245"/>
      <c r="G115" s="245"/>
      <c r="H115" s="245"/>
      <c r="I115" s="245"/>
      <c r="J115" s="245"/>
      <c r="K115" s="245"/>
      <c r="L115" s="245"/>
      <c r="M115" s="245"/>
      <c r="N115" s="245"/>
      <c r="O115" s="245"/>
      <c r="P115" s="245"/>
      <c r="Q115" s="245"/>
      <c r="R115" s="245"/>
      <c r="S115" s="245"/>
      <c r="T115" s="245"/>
      <c r="U115" s="245"/>
      <c r="V115" s="245"/>
      <c r="W115" s="245"/>
    </row>
    <row r="116" spans="2:23" ht="12.75" customHeight="1" x14ac:dyDescent="0.25">
      <c r="B116" s="245"/>
      <c r="C116" s="245"/>
      <c r="D116" s="245"/>
      <c r="E116" s="245"/>
      <c r="F116" s="245"/>
      <c r="G116" s="245"/>
      <c r="H116" s="245"/>
      <c r="I116" s="245"/>
      <c r="J116" s="245"/>
      <c r="K116" s="245"/>
      <c r="L116" s="245"/>
      <c r="M116" s="245"/>
      <c r="N116" s="245"/>
      <c r="O116" s="245"/>
      <c r="P116" s="245"/>
      <c r="Q116" s="245"/>
      <c r="R116" s="245"/>
      <c r="S116" s="245"/>
      <c r="T116" s="245"/>
      <c r="U116" s="245"/>
      <c r="V116" s="245"/>
      <c r="W116" s="245"/>
    </row>
    <row r="117" spans="2:23" ht="12.75" customHeight="1" x14ac:dyDescent="0.25">
      <c r="B117" s="245"/>
      <c r="C117" s="245"/>
      <c r="D117" s="245"/>
      <c r="E117" s="245"/>
      <c r="F117" s="245"/>
      <c r="G117" s="245"/>
      <c r="H117" s="245"/>
      <c r="I117" s="245"/>
      <c r="J117" s="245"/>
      <c r="K117" s="245"/>
      <c r="L117" s="245"/>
      <c r="M117" s="245"/>
      <c r="N117" s="245"/>
      <c r="O117" s="245"/>
      <c r="P117" s="245"/>
      <c r="Q117" s="245"/>
      <c r="R117" s="245"/>
      <c r="S117" s="245"/>
      <c r="T117" s="245"/>
      <c r="U117" s="245"/>
      <c r="V117" s="245"/>
      <c r="W117" s="245"/>
    </row>
    <row r="118" spans="2:23" ht="12.75" customHeight="1" x14ac:dyDescent="0.25">
      <c r="B118" s="245"/>
      <c r="C118" s="245"/>
      <c r="D118" s="245"/>
      <c r="E118" s="245"/>
      <c r="F118" s="245"/>
      <c r="G118" s="245"/>
      <c r="H118" s="245"/>
      <c r="I118" s="245"/>
      <c r="J118" s="245"/>
      <c r="K118" s="245"/>
      <c r="L118" s="245"/>
      <c r="M118" s="245"/>
      <c r="N118" s="245"/>
      <c r="O118" s="245"/>
      <c r="P118" s="245"/>
      <c r="Q118" s="245"/>
      <c r="R118" s="245"/>
      <c r="S118" s="245"/>
      <c r="T118" s="245"/>
      <c r="U118" s="245"/>
      <c r="V118" s="245"/>
      <c r="W118" s="245"/>
    </row>
    <row r="119" spans="2:23" ht="12.75" customHeight="1" x14ac:dyDescent="0.25">
      <c r="B119" s="245"/>
      <c r="C119" s="245"/>
      <c r="D119" s="245"/>
      <c r="E119" s="245"/>
      <c r="F119" s="245"/>
      <c r="G119" s="245"/>
      <c r="H119" s="245"/>
      <c r="I119" s="245"/>
      <c r="J119" s="245"/>
      <c r="K119" s="245"/>
      <c r="L119" s="245"/>
      <c r="M119" s="245"/>
      <c r="N119" s="245"/>
      <c r="O119" s="245"/>
      <c r="P119" s="245"/>
      <c r="Q119" s="245"/>
      <c r="R119" s="245"/>
      <c r="S119" s="245"/>
      <c r="T119" s="245"/>
      <c r="U119" s="245"/>
      <c r="V119" s="245"/>
      <c r="W119" s="245"/>
    </row>
    <row r="120" spans="2:23" ht="12.75" customHeight="1" x14ac:dyDescent="0.25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  <c r="L120" s="245"/>
      <c r="M120" s="245"/>
      <c r="N120" s="245"/>
      <c r="O120" s="245"/>
      <c r="P120" s="245"/>
      <c r="Q120" s="245"/>
      <c r="R120" s="245"/>
      <c r="S120" s="245"/>
      <c r="T120" s="245"/>
      <c r="U120" s="245"/>
      <c r="V120" s="245"/>
      <c r="W120" s="245"/>
    </row>
    <row r="121" spans="2:23" ht="12.75" customHeight="1" x14ac:dyDescent="0.25">
      <c r="B121" s="245"/>
      <c r="C121" s="245"/>
      <c r="D121" s="245"/>
      <c r="E121" s="245"/>
      <c r="F121" s="245"/>
      <c r="G121" s="245"/>
      <c r="H121" s="245"/>
      <c r="I121" s="245"/>
      <c r="J121" s="245"/>
      <c r="K121" s="245"/>
      <c r="L121" s="245"/>
      <c r="M121" s="245"/>
      <c r="N121" s="245"/>
      <c r="O121" s="245"/>
      <c r="P121" s="245"/>
      <c r="Q121" s="245"/>
      <c r="R121" s="245"/>
      <c r="S121" s="245"/>
      <c r="T121" s="245"/>
      <c r="U121" s="245"/>
      <c r="V121" s="245"/>
      <c r="W121" s="245"/>
    </row>
    <row r="122" spans="2:23" ht="12.75" customHeight="1" x14ac:dyDescent="0.25">
      <c r="B122" s="245"/>
      <c r="C122" s="245"/>
      <c r="D122" s="245"/>
      <c r="E122" s="245"/>
      <c r="F122" s="245"/>
      <c r="G122" s="245"/>
      <c r="H122" s="245"/>
      <c r="I122" s="245"/>
      <c r="J122" s="245"/>
      <c r="K122" s="245"/>
      <c r="L122" s="245"/>
      <c r="M122" s="245"/>
      <c r="N122" s="245"/>
      <c r="O122" s="245"/>
      <c r="P122" s="245"/>
      <c r="Q122" s="245"/>
      <c r="R122" s="245"/>
      <c r="S122" s="245"/>
      <c r="T122" s="245"/>
      <c r="U122" s="245"/>
      <c r="V122" s="245"/>
      <c r="W122" s="245"/>
    </row>
    <row r="123" spans="2:23" ht="12.75" customHeight="1" x14ac:dyDescent="0.25">
      <c r="B123" s="245"/>
      <c r="C123" s="245"/>
      <c r="D123" s="245"/>
      <c r="E123" s="245"/>
      <c r="F123" s="245"/>
      <c r="G123" s="245"/>
      <c r="H123" s="245"/>
      <c r="I123" s="245"/>
      <c r="J123" s="245"/>
      <c r="K123" s="245"/>
      <c r="L123" s="245"/>
      <c r="M123" s="245"/>
      <c r="N123" s="245"/>
      <c r="O123" s="245"/>
      <c r="P123" s="245"/>
      <c r="Q123" s="245"/>
      <c r="R123" s="245"/>
      <c r="S123" s="245"/>
      <c r="T123" s="245"/>
      <c r="U123" s="245"/>
      <c r="V123" s="245"/>
      <c r="W123" s="245"/>
    </row>
    <row r="124" spans="2:23" ht="12.75" customHeight="1" x14ac:dyDescent="0.25">
      <c r="B124" s="245"/>
      <c r="C124" s="245"/>
      <c r="D124" s="245"/>
      <c r="E124" s="245"/>
      <c r="F124" s="245"/>
      <c r="G124" s="245"/>
      <c r="H124" s="245"/>
      <c r="I124" s="245"/>
      <c r="J124" s="245"/>
      <c r="K124" s="245"/>
      <c r="L124" s="245"/>
      <c r="M124" s="245"/>
      <c r="N124" s="245"/>
      <c r="O124" s="245"/>
      <c r="P124" s="245"/>
      <c r="Q124" s="245"/>
      <c r="R124" s="245"/>
      <c r="S124" s="245"/>
      <c r="T124" s="245"/>
      <c r="U124" s="245"/>
      <c r="V124" s="245"/>
      <c r="W124" s="245"/>
    </row>
    <row r="125" spans="2:23" ht="12.75" customHeight="1" x14ac:dyDescent="0.25">
      <c r="B125" s="245"/>
      <c r="C125" s="245"/>
      <c r="D125" s="245"/>
      <c r="E125" s="245"/>
      <c r="F125" s="245"/>
      <c r="G125" s="245"/>
      <c r="H125" s="245"/>
      <c r="I125" s="245"/>
      <c r="J125" s="245"/>
      <c r="K125" s="245"/>
      <c r="L125" s="245"/>
      <c r="M125" s="245"/>
      <c r="N125" s="245"/>
      <c r="O125" s="245"/>
      <c r="P125" s="245"/>
      <c r="Q125" s="245"/>
      <c r="R125" s="245"/>
      <c r="S125" s="245"/>
      <c r="T125" s="245"/>
      <c r="U125" s="245"/>
      <c r="V125" s="245"/>
      <c r="W125" s="245"/>
    </row>
    <row r="126" spans="2:23" ht="12.75" customHeight="1" x14ac:dyDescent="0.25">
      <c r="B126" s="245"/>
      <c r="C126" s="245"/>
      <c r="D126" s="245"/>
      <c r="E126" s="245"/>
      <c r="F126" s="245"/>
      <c r="G126" s="245"/>
      <c r="H126" s="245"/>
      <c r="I126" s="245"/>
      <c r="J126" s="245"/>
      <c r="K126" s="245"/>
      <c r="L126" s="245"/>
      <c r="M126" s="245"/>
      <c r="N126" s="245"/>
      <c r="O126" s="245"/>
      <c r="P126" s="245"/>
      <c r="Q126" s="245"/>
      <c r="R126" s="245"/>
      <c r="S126" s="245"/>
      <c r="T126" s="245"/>
      <c r="U126" s="245"/>
      <c r="V126" s="245"/>
      <c r="W126" s="245"/>
    </row>
    <row r="127" spans="2:23" ht="12.75" customHeight="1" x14ac:dyDescent="0.25">
      <c r="B127" s="245"/>
      <c r="C127" s="245"/>
      <c r="D127" s="245"/>
      <c r="E127" s="245"/>
      <c r="F127" s="245"/>
      <c r="G127" s="245"/>
      <c r="H127" s="245"/>
      <c r="I127" s="245"/>
      <c r="J127" s="245"/>
      <c r="K127" s="245"/>
      <c r="L127" s="245"/>
      <c r="M127" s="245"/>
      <c r="N127" s="245"/>
      <c r="O127" s="245"/>
      <c r="P127" s="245"/>
      <c r="Q127" s="245"/>
      <c r="R127" s="245"/>
      <c r="S127" s="245"/>
      <c r="T127" s="245"/>
      <c r="U127" s="245"/>
      <c r="V127" s="245"/>
      <c r="W127" s="245"/>
    </row>
    <row r="128" spans="2:23" ht="12.75" customHeight="1" x14ac:dyDescent="0.25">
      <c r="B128" s="245"/>
      <c r="C128" s="245"/>
      <c r="D128" s="245"/>
      <c r="E128" s="245"/>
      <c r="F128" s="245"/>
      <c r="G128" s="245"/>
      <c r="H128" s="245"/>
      <c r="I128" s="245"/>
      <c r="J128" s="245"/>
      <c r="K128" s="245"/>
      <c r="L128" s="245"/>
      <c r="M128" s="245"/>
      <c r="N128" s="245"/>
      <c r="O128" s="245"/>
      <c r="P128" s="245"/>
      <c r="Q128" s="245"/>
      <c r="R128" s="245"/>
      <c r="S128" s="245"/>
      <c r="T128" s="245"/>
      <c r="U128" s="245"/>
      <c r="V128" s="245"/>
      <c r="W128" s="245"/>
    </row>
    <row r="129" spans="2:23" ht="12.75" customHeight="1" x14ac:dyDescent="0.25">
      <c r="B129" s="245"/>
      <c r="C129" s="245"/>
      <c r="D129" s="245"/>
      <c r="E129" s="245"/>
      <c r="F129" s="245"/>
      <c r="G129" s="245"/>
      <c r="H129" s="245"/>
      <c r="I129" s="245"/>
      <c r="J129" s="245"/>
      <c r="K129" s="245"/>
      <c r="L129" s="245"/>
      <c r="M129" s="245"/>
      <c r="N129" s="245"/>
      <c r="O129" s="245"/>
      <c r="P129" s="245"/>
      <c r="Q129" s="245"/>
      <c r="R129" s="245"/>
      <c r="S129" s="245"/>
      <c r="T129" s="245"/>
      <c r="U129" s="245"/>
      <c r="V129" s="245"/>
      <c r="W129" s="245"/>
    </row>
    <row r="130" spans="2:23" ht="12.75" customHeight="1" x14ac:dyDescent="0.25">
      <c r="B130" s="245"/>
      <c r="C130" s="245"/>
      <c r="D130" s="245"/>
      <c r="E130" s="245"/>
      <c r="F130" s="245"/>
      <c r="G130" s="245"/>
      <c r="H130" s="245"/>
      <c r="I130" s="245"/>
      <c r="J130" s="245"/>
      <c r="K130" s="245"/>
      <c r="L130" s="245"/>
      <c r="M130" s="245"/>
      <c r="N130" s="245"/>
      <c r="O130" s="245"/>
      <c r="P130" s="245"/>
      <c r="Q130" s="245"/>
      <c r="R130" s="245"/>
      <c r="S130" s="245"/>
      <c r="T130" s="245"/>
      <c r="U130" s="245"/>
      <c r="V130" s="245"/>
      <c r="W130" s="245"/>
    </row>
    <row r="131" spans="2:23" ht="12.75" customHeight="1" x14ac:dyDescent="0.25">
      <c r="B131" s="245"/>
      <c r="C131" s="245"/>
      <c r="D131" s="245"/>
      <c r="E131" s="245"/>
      <c r="F131" s="245"/>
      <c r="G131" s="245"/>
      <c r="H131" s="245"/>
      <c r="I131" s="245"/>
      <c r="J131" s="245"/>
      <c r="K131" s="245"/>
      <c r="L131" s="245"/>
      <c r="M131" s="245"/>
      <c r="N131" s="245"/>
      <c r="O131" s="245"/>
      <c r="P131" s="245"/>
      <c r="Q131" s="245"/>
      <c r="R131" s="245"/>
      <c r="S131" s="245"/>
      <c r="T131" s="245"/>
      <c r="U131" s="245"/>
      <c r="V131" s="245"/>
      <c r="W131" s="245"/>
    </row>
    <row r="132" spans="2:23" ht="12.75" customHeight="1" x14ac:dyDescent="0.25">
      <c r="B132" s="245"/>
      <c r="C132" s="245"/>
      <c r="D132" s="245"/>
      <c r="E132" s="245"/>
      <c r="F132" s="245"/>
      <c r="G132" s="245"/>
      <c r="H132" s="245"/>
      <c r="I132" s="245"/>
      <c r="J132" s="245"/>
      <c r="K132" s="245"/>
      <c r="L132" s="245"/>
      <c r="M132" s="245"/>
      <c r="N132" s="245"/>
      <c r="O132" s="245"/>
      <c r="P132" s="245"/>
      <c r="Q132" s="245"/>
      <c r="R132" s="245"/>
      <c r="S132" s="245"/>
      <c r="T132" s="245"/>
      <c r="U132" s="245"/>
      <c r="V132" s="245"/>
      <c r="W132" s="245"/>
    </row>
    <row r="133" spans="2:23" ht="12.75" customHeight="1" x14ac:dyDescent="0.25">
      <c r="B133" s="245"/>
      <c r="C133" s="245"/>
      <c r="D133" s="245"/>
      <c r="E133" s="245"/>
      <c r="F133" s="245"/>
      <c r="G133" s="245"/>
      <c r="H133" s="245"/>
      <c r="I133" s="245"/>
      <c r="J133" s="245"/>
      <c r="K133" s="245"/>
      <c r="L133" s="245"/>
      <c r="M133" s="245"/>
      <c r="N133" s="245"/>
      <c r="O133" s="245"/>
      <c r="P133" s="245"/>
      <c r="Q133" s="245"/>
      <c r="R133" s="245"/>
      <c r="S133" s="245"/>
      <c r="T133" s="245"/>
      <c r="U133" s="245"/>
      <c r="V133" s="245"/>
      <c r="W133" s="245"/>
    </row>
    <row r="134" spans="2:23" ht="12.75" customHeight="1" x14ac:dyDescent="0.25">
      <c r="B134" s="245"/>
      <c r="C134" s="245"/>
      <c r="D134" s="245"/>
      <c r="E134" s="245"/>
      <c r="F134" s="245"/>
      <c r="G134" s="245"/>
      <c r="H134" s="245"/>
      <c r="I134" s="245"/>
      <c r="J134" s="245"/>
      <c r="K134" s="245"/>
      <c r="L134" s="245"/>
      <c r="M134" s="245"/>
      <c r="N134" s="245"/>
      <c r="O134" s="245"/>
      <c r="P134" s="245"/>
      <c r="Q134" s="245"/>
      <c r="R134" s="245"/>
      <c r="S134" s="245"/>
      <c r="T134" s="245"/>
      <c r="U134" s="245"/>
      <c r="V134" s="245"/>
      <c r="W134" s="245"/>
    </row>
    <row r="135" spans="2:23" ht="12.75" customHeight="1" x14ac:dyDescent="0.25">
      <c r="B135" s="245"/>
      <c r="C135" s="245"/>
      <c r="D135" s="245"/>
      <c r="E135" s="245"/>
      <c r="F135" s="245"/>
      <c r="G135" s="245"/>
      <c r="H135" s="245"/>
      <c r="I135" s="245"/>
      <c r="J135" s="245"/>
      <c r="K135" s="245"/>
      <c r="L135" s="245"/>
      <c r="M135" s="245"/>
      <c r="N135" s="245"/>
      <c r="O135" s="245"/>
      <c r="P135" s="245"/>
      <c r="Q135" s="245"/>
      <c r="R135" s="245"/>
      <c r="S135" s="245"/>
      <c r="T135" s="245"/>
      <c r="U135" s="245"/>
      <c r="V135" s="245"/>
      <c r="W135" s="245"/>
    </row>
    <row r="136" spans="2:23" ht="12.75" customHeight="1" x14ac:dyDescent="0.25">
      <c r="B136" s="245"/>
      <c r="C136" s="245"/>
      <c r="D136" s="245"/>
      <c r="E136" s="245"/>
      <c r="F136" s="245"/>
      <c r="G136" s="245"/>
      <c r="H136" s="245"/>
      <c r="I136" s="245"/>
      <c r="J136" s="245"/>
      <c r="K136" s="245"/>
      <c r="L136" s="245"/>
      <c r="M136" s="245"/>
      <c r="N136" s="245"/>
      <c r="O136" s="245"/>
      <c r="P136" s="245"/>
      <c r="Q136" s="245"/>
      <c r="R136" s="245"/>
      <c r="S136" s="245"/>
      <c r="T136" s="245"/>
      <c r="U136" s="245"/>
      <c r="V136" s="245"/>
      <c r="W136" s="245"/>
    </row>
    <row r="137" spans="2:23" ht="12.75" customHeight="1" x14ac:dyDescent="0.25">
      <c r="B137" s="245"/>
      <c r="C137" s="245"/>
      <c r="D137" s="245"/>
      <c r="E137" s="245"/>
      <c r="F137" s="245"/>
      <c r="G137" s="245"/>
      <c r="H137" s="245"/>
      <c r="I137" s="245"/>
      <c r="J137" s="245"/>
      <c r="K137" s="245"/>
      <c r="L137" s="245"/>
      <c r="M137" s="245"/>
      <c r="N137" s="245"/>
      <c r="O137" s="245"/>
      <c r="P137" s="245"/>
      <c r="Q137" s="245"/>
      <c r="R137" s="245"/>
      <c r="S137" s="245"/>
      <c r="T137" s="245"/>
      <c r="U137" s="245"/>
      <c r="V137" s="245"/>
      <c r="W137" s="245"/>
    </row>
    <row r="138" spans="2:23" ht="12.75" customHeight="1" x14ac:dyDescent="0.25">
      <c r="B138" s="245"/>
      <c r="C138" s="245"/>
      <c r="D138" s="245"/>
      <c r="E138" s="245"/>
      <c r="F138" s="245"/>
      <c r="G138" s="245"/>
      <c r="H138" s="245"/>
      <c r="I138" s="245"/>
      <c r="J138" s="245"/>
      <c r="K138" s="245"/>
      <c r="L138" s="245"/>
      <c r="M138" s="245"/>
      <c r="N138" s="245"/>
      <c r="O138" s="245"/>
      <c r="P138" s="245"/>
      <c r="Q138" s="245"/>
      <c r="R138" s="245"/>
      <c r="S138" s="245"/>
      <c r="T138" s="245"/>
      <c r="U138" s="245"/>
      <c r="V138" s="245"/>
      <c r="W138" s="245"/>
    </row>
    <row r="139" spans="2:23" ht="12.75" customHeight="1" x14ac:dyDescent="0.25">
      <c r="B139" s="245"/>
      <c r="C139" s="245"/>
      <c r="D139" s="245"/>
      <c r="E139" s="245"/>
      <c r="F139" s="245"/>
      <c r="G139" s="245"/>
      <c r="H139" s="245"/>
      <c r="I139" s="245"/>
      <c r="J139" s="245"/>
      <c r="K139" s="245"/>
      <c r="L139" s="245"/>
      <c r="M139" s="245"/>
      <c r="N139" s="245"/>
      <c r="O139" s="245"/>
      <c r="P139" s="245"/>
      <c r="Q139" s="245"/>
      <c r="R139" s="245"/>
      <c r="S139" s="245"/>
      <c r="T139" s="245"/>
      <c r="U139" s="245"/>
      <c r="V139" s="245"/>
      <c r="W139" s="245"/>
    </row>
    <row r="140" spans="2:23" ht="12.75" customHeight="1" x14ac:dyDescent="0.25">
      <c r="B140" s="245"/>
      <c r="C140" s="245"/>
      <c r="D140" s="245"/>
      <c r="E140" s="245"/>
      <c r="F140" s="245"/>
      <c r="G140" s="245"/>
      <c r="H140" s="245"/>
      <c r="I140" s="245"/>
      <c r="J140" s="245"/>
      <c r="K140" s="245"/>
      <c r="L140" s="245"/>
      <c r="M140" s="245"/>
      <c r="N140" s="245"/>
      <c r="O140" s="245"/>
      <c r="P140" s="245"/>
      <c r="Q140" s="245"/>
      <c r="R140" s="245"/>
      <c r="S140" s="245"/>
      <c r="T140" s="245"/>
      <c r="U140" s="245"/>
      <c r="V140" s="245"/>
      <c r="W140" s="245"/>
    </row>
    <row r="141" spans="2:23" ht="12.75" customHeight="1" x14ac:dyDescent="0.25">
      <c r="B141" s="245"/>
      <c r="C141" s="245"/>
      <c r="D141" s="245"/>
      <c r="E141" s="245"/>
      <c r="F141" s="245"/>
      <c r="G141" s="245"/>
      <c r="H141" s="245"/>
      <c r="I141" s="245"/>
      <c r="J141" s="245"/>
      <c r="K141" s="245"/>
      <c r="L141" s="245"/>
      <c r="M141" s="245"/>
      <c r="N141" s="245"/>
      <c r="O141" s="245"/>
      <c r="P141" s="245"/>
      <c r="Q141" s="245"/>
      <c r="R141" s="245"/>
      <c r="S141" s="245"/>
      <c r="T141" s="245"/>
      <c r="U141" s="245"/>
      <c r="V141" s="245"/>
      <c r="W141" s="245"/>
    </row>
    <row r="142" spans="2:23" ht="12.75" customHeight="1" x14ac:dyDescent="0.25">
      <c r="B142" s="245"/>
      <c r="C142" s="245"/>
      <c r="D142" s="245"/>
      <c r="E142" s="245"/>
      <c r="F142" s="245"/>
      <c r="G142" s="245"/>
      <c r="H142" s="245"/>
      <c r="I142" s="245"/>
      <c r="J142" s="245"/>
      <c r="K142" s="245"/>
      <c r="L142" s="245"/>
      <c r="M142" s="245"/>
      <c r="N142" s="245"/>
      <c r="O142" s="245"/>
      <c r="P142" s="245"/>
      <c r="Q142" s="245"/>
      <c r="R142" s="245"/>
      <c r="S142" s="245"/>
      <c r="T142" s="245"/>
      <c r="U142" s="245"/>
      <c r="V142" s="245"/>
      <c r="W142" s="245"/>
    </row>
    <row r="143" spans="2:23" ht="12.75" customHeight="1" x14ac:dyDescent="0.25">
      <c r="B143" s="245"/>
      <c r="C143" s="245"/>
      <c r="D143" s="245"/>
      <c r="E143" s="245"/>
      <c r="F143" s="245"/>
      <c r="G143" s="245"/>
      <c r="H143" s="245"/>
      <c r="I143" s="245"/>
      <c r="J143" s="245"/>
      <c r="K143" s="245"/>
      <c r="L143" s="245"/>
      <c r="M143" s="245"/>
      <c r="N143" s="245"/>
      <c r="O143" s="245"/>
      <c r="P143" s="245"/>
      <c r="Q143" s="245"/>
      <c r="R143" s="245"/>
      <c r="S143" s="245"/>
      <c r="T143" s="245"/>
      <c r="U143" s="245"/>
      <c r="V143" s="245"/>
      <c r="W143" s="245"/>
    </row>
    <row r="144" spans="2:23" ht="12.75" customHeight="1" x14ac:dyDescent="0.25">
      <c r="B144" s="245"/>
      <c r="C144" s="245"/>
      <c r="D144" s="245"/>
      <c r="E144" s="245"/>
      <c r="F144" s="245"/>
      <c r="G144" s="245"/>
      <c r="H144" s="245"/>
      <c r="I144" s="245"/>
      <c r="J144" s="245"/>
      <c r="K144" s="245"/>
      <c r="L144" s="245"/>
      <c r="M144" s="245"/>
      <c r="N144" s="245"/>
      <c r="O144" s="245"/>
      <c r="P144" s="245"/>
      <c r="Q144" s="245"/>
      <c r="R144" s="245"/>
      <c r="S144" s="245"/>
      <c r="T144" s="245"/>
      <c r="U144" s="245"/>
      <c r="V144" s="245"/>
      <c r="W144" s="245"/>
    </row>
    <row r="145" spans="2:23" ht="12.75" customHeight="1" x14ac:dyDescent="0.25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  <c r="L145" s="245"/>
      <c r="M145" s="245"/>
      <c r="N145" s="245"/>
      <c r="O145" s="245"/>
      <c r="P145" s="245"/>
      <c r="Q145" s="245"/>
      <c r="R145" s="245"/>
      <c r="S145" s="245"/>
      <c r="T145" s="245"/>
      <c r="U145" s="245"/>
      <c r="V145" s="245"/>
      <c r="W145" s="245"/>
    </row>
    <row r="146" spans="2:23" ht="12.75" customHeight="1" x14ac:dyDescent="0.25">
      <c r="B146" s="245"/>
      <c r="C146" s="245"/>
      <c r="D146" s="245"/>
      <c r="E146" s="245"/>
      <c r="F146" s="245"/>
      <c r="G146" s="245"/>
      <c r="H146" s="245"/>
      <c r="I146" s="245"/>
      <c r="J146" s="245"/>
      <c r="K146" s="245"/>
      <c r="L146" s="245"/>
      <c r="M146" s="245"/>
      <c r="N146" s="245"/>
      <c r="O146" s="245"/>
      <c r="P146" s="245"/>
      <c r="Q146" s="245"/>
      <c r="R146" s="245"/>
      <c r="S146" s="245"/>
      <c r="T146" s="245"/>
      <c r="U146" s="245"/>
      <c r="V146" s="245"/>
      <c r="W146" s="245"/>
    </row>
    <row r="147" spans="2:23" ht="12.75" customHeight="1" x14ac:dyDescent="0.25">
      <c r="B147" s="245"/>
      <c r="C147" s="245"/>
      <c r="D147" s="245"/>
      <c r="E147" s="245"/>
      <c r="F147" s="245"/>
      <c r="G147" s="245"/>
      <c r="H147" s="245"/>
      <c r="I147" s="245"/>
      <c r="J147" s="245"/>
      <c r="K147" s="245"/>
      <c r="L147" s="245"/>
      <c r="M147" s="245"/>
      <c r="N147" s="245"/>
      <c r="O147" s="245"/>
      <c r="P147" s="245"/>
      <c r="Q147" s="245"/>
      <c r="R147" s="245"/>
      <c r="S147" s="245"/>
      <c r="T147" s="245"/>
      <c r="U147" s="245"/>
      <c r="V147" s="245"/>
      <c r="W147" s="245"/>
    </row>
    <row r="148" spans="2:23" ht="12.75" customHeight="1" x14ac:dyDescent="0.25">
      <c r="B148" s="245"/>
      <c r="C148" s="245"/>
      <c r="D148" s="245"/>
      <c r="E148" s="245"/>
      <c r="F148" s="245"/>
      <c r="G148" s="245"/>
      <c r="H148" s="245"/>
      <c r="I148" s="245"/>
      <c r="J148" s="245"/>
      <c r="K148" s="245"/>
      <c r="L148" s="245"/>
      <c r="M148" s="245"/>
      <c r="N148" s="245"/>
      <c r="O148" s="245"/>
      <c r="P148" s="245"/>
      <c r="Q148" s="245"/>
      <c r="R148" s="245"/>
      <c r="S148" s="245"/>
      <c r="T148" s="245"/>
      <c r="U148" s="245"/>
      <c r="V148" s="245"/>
      <c r="W148" s="245"/>
    </row>
    <row r="149" spans="2:23" ht="12.75" customHeight="1" x14ac:dyDescent="0.25">
      <c r="B149" s="245"/>
      <c r="C149" s="245"/>
      <c r="D149" s="245"/>
      <c r="E149" s="245"/>
      <c r="F149" s="245"/>
      <c r="G149" s="245"/>
      <c r="H149" s="245"/>
      <c r="I149" s="245"/>
      <c r="J149" s="245"/>
      <c r="K149" s="245"/>
      <c r="L149" s="245"/>
      <c r="M149" s="245"/>
      <c r="N149" s="245"/>
      <c r="O149" s="245"/>
      <c r="P149" s="245"/>
      <c r="Q149" s="245"/>
      <c r="R149" s="245"/>
      <c r="S149" s="245"/>
      <c r="T149" s="245"/>
      <c r="U149" s="245"/>
      <c r="V149" s="245"/>
      <c r="W149" s="245"/>
    </row>
    <row r="150" spans="2:23" ht="12.75" customHeight="1" x14ac:dyDescent="0.25">
      <c r="B150" s="245"/>
      <c r="C150" s="245"/>
      <c r="D150" s="245"/>
      <c r="E150" s="245"/>
      <c r="F150" s="245"/>
      <c r="G150" s="245"/>
      <c r="H150" s="245"/>
      <c r="I150" s="245"/>
      <c r="J150" s="245"/>
      <c r="K150" s="245"/>
      <c r="L150" s="245"/>
      <c r="M150" s="245"/>
      <c r="N150" s="245"/>
      <c r="O150" s="245"/>
      <c r="P150" s="245"/>
      <c r="Q150" s="245"/>
      <c r="R150" s="245"/>
      <c r="S150" s="245"/>
      <c r="T150" s="245"/>
      <c r="U150" s="245"/>
      <c r="V150" s="245"/>
      <c r="W150" s="245"/>
    </row>
    <row r="151" spans="2:23" ht="12.75" customHeight="1" x14ac:dyDescent="0.25">
      <c r="B151" s="245"/>
      <c r="C151" s="245"/>
      <c r="D151" s="245"/>
      <c r="E151" s="245"/>
      <c r="F151" s="245"/>
      <c r="G151" s="245"/>
      <c r="H151" s="245"/>
      <c r="I151" s="245"/>
      <c r="J151" s="245"/>
      <c r="K151" s="245"/>
      <c r="L151" s="245"/>
      <c r="M151" s="245"/>
      <c r="N151" s="245"/>
      <c r="O151" s="245"/>
      <c r="P151" s="245"/>
      <c r="Q151" s="245"/>
      <c r="R151" s="245"/>
      <c r="S151" s="245"/>
      <c r="T151" s="245"/>
      <c r="U151" s="245"/>
      <c r="V151" s="245"/>
      <c r="W151" s="245"/>
    </row>
    <row r="152" spans="2:23" ht="12.75" customHeight="1" x14ac:dyDescent="0.25">
      <c r="B152" s="245"/>
      <c r="C152" s="245"/>
      <c r="D152" s="245"/>
      <c r="E152" s="245"/>
      <c r="F152" s="245"/>
      <c r="G152" s="245"/>
      <c r="H152" s="245"/>
      <c r="I152" s="245"/>
      <c r="J152" s="245"/>
      <c r="K152" s="245"/>
      <c r="L152" s="245"/>
      <c r="M152" s="245"/>
      <c r="N152" s="245"/>
      <c r="O152" s="245"/>
      <c r="P152" s="245"/>
      <c r="Q152" s="245"/>
      <c r="R152" s="245"/>
      <c r="S152" s="245"/>
      <c r="T152" s="245"/>
      <c r="U152" s="245"/>
      <c r="V152" s="245"/>
      <c r="W152" s="245"/>
    </row>
    <row r="153" spans="2:23" ht="12.75" customHeight="1" x14ac:dyDescent="0.25">
      <c r="B153" s="245"/>
      <c r="C153" s="245"/>
      <c r="D153" s="245"/>
      <c r="E153" s="245"/>
      <c r="F153" s="245"/>
      <c r="G153" s="245"/>
      <c r="H153" s="245"/>
      <c r="I153" s="245"/>
      <c r="J153" s="245"/>
      <c r="K153" s="245"/>
      <c r="L153" s="245"/>
      <c r="M153" s="245"/>
      <c r="N153" s="245"/>
      <c r="O153" s="245"/>
      <c r="P153" s="245"/>
      <c r="Q153" s="245"/>
      <c r="R153" s="245"/>
      <c r="S153" s="245"/>
      <c r="T153" s="245"/>
      <c r="U153" s="245"/>
      <c r="V153" s="245"/>
      <c r="W153" s="245"/>
    </row>
    <row r="154" spans="2:23" ht="12.75" customHeight="1" x14ac:dyDescent="0.25">
      <c r="B154" s="245"/>
      <c r="C154" s="245"/>
      <c r="D154" s="245"/>
      <c r="E154" s="245"/>
      <c r="F154" s="245"/>
      <c r="G154" s="245"/>
      <c r="H154" s="245"/>
      <c r="I154" s="245"/>
      <c r="J154" s="245"/>
      <c r="K154" s="245"/>
      <c r="L154" s="245"/>
      <c r="M154" s="245"/>
      <c r="N154" s="245"/>
      <c r="O154" s="245"/>
      <c r="P154" s="245"/>
      <c r="Q154" s="245"/>
      <c r="R154" s="245"/>
      <c r="S154" s="245"/>
      <c r="T154" s="245"/>
      <c r="U154" s="245"/>
      <c r="V154" s="245"/>
      <c r="W154" s="245"/>
    </row>
    <row r="155" spans="2:23" ht="12.75" customHeight="1" x14ac:dyDescent="0.25">
      <c r="B155" s="245"/>
      <c r="C155" s="245"/>
      <c r="D155" s="245"/>
      <c r="E155" s="245"/>
      <c r="F155" s="245"/>
      <c r="G155" s="245"/>
      <c r="H155" s="245"/>
      <c r="I155" s="245"/>
      <c r="J155" s="245"/>
      <c r="K155" s="245"/>
      <c r="L155" s="245"/>
      <c r="M155" s="245"/>
      <c r="N155" s="245"/>
      <c r="O155" s="245"/>
      <c r="P155" s="245"/>
      <c r="Q155" s="245"/>
      <c r="R155" s="245"/>
      <c r="S155" s="245"/>
      <c r="T155" s="245"/>
      <c r="U155" s="245"/>
      <c r="V155" s="245"/>
      <c r="W155" s="245"/>
    </row>
    <row r="156" spans="2:23" ht="12.75" customHeight="1" x14ac:dyDescent="0.25">
      <c r="B156" s="245"/>
      <c r="C156" s="245"/>
      <c r="D156" s="245"/>
      <c r="E156" s="245"/>
      <c r="F156" s="245"/>
      <c r="G156" s="245"/>
      <c r="H156" s="245"/>
      <c r="I156" s="245"/>
      <c r="J156" s="245"/>
      <c r="K156" s="245"/>
      <c r="L156" s="245"/>
      <c r="M156" s="245"/>
      <c r="N156" s="245"/>
      <c r="O156" s="245"/>
      <c r="P156" s="245"/>
      <c r="Q156" s="245"/>
      <c r="R156" s="245"/>
      <c r="S156" s="245"/>
      <c r="T156" s="245"/>
      <c r="U156" s="245"/>
      <c r="V156" s="245"/>
      <c r="W156" s="245"/>
    </row>
    <row r="157" spans="2:23" ht="12.75" customHeight="1" x14ac:dyDescent="0.25">
      <c r="B157" s="245"/>
      <c r="C157" s="245"/>
      <c r="D157" s="245"/>
      <c r="E157" s="245"/>
      <c r="F157" s="245"/>
      <c r="G157" s="245"/>
      <c r="H157" s="245"/>
      <c r="I157" s="245"/>
      <c r="J157" s="245"/>
      <c r="K157" s="245"/>
      <c r="L157" s="245"/>
      <c r="M157" s="245"/>
      <c r="N157" s="245"/>
      <c r="O157" s="245"/>
      <c r="P157" s="245"/>
      <c r="Q157" s="245"/>
      <c r="R157" s="245"/>
      <c r="S157" s="245"/>
      <c r="T157" s="245"/>
      <c r="U157" s="245"/>
      <c r="V157" s="245"/>
      <c r="W157" s="245"/>
    </row>
    <row r="158" spans="2:23" ht="12.75" customHeight="1" x14ac:dyDescent="0.25">
      <c r="B158" s="245"/>
      <c r="C158" s="245"/>
      <c r="D158" s="245"/>
      <c r="E158" s="245"/>
      <c r="F158" s="245"/>
      <c r="G158" s="245"/>
      <c r="H158" s="245"/>
      <c r="I158" s="245"/>
      <c r="J158" s="245"/>
      <c r="K158" s="245"/>
      <c r="L158" s="245"/>
      <c r="M158" s="245"/>
      <c r="N158" s="245"/>
      <c r="O158" s="245"/>
      <c r="P158" s="245"/>
      <c r="Q158" s="245"/>
      <c r="R158" s="245"/>
      <c r="S158" s="245"/>
      <c r="T158" s="245"/>
      <c r="U158" s="245"/>
      <c r="V158" s="245"/>
      <c r="W158" s="245"/>
    </row>
    <row r="159" spans="2:23" ht="12.75" customHeight="1" x14ac:dyDescent="0.25">
      <c r="B159" s="245"/>
      <c r="C159" s="245"/>
      <c r="D159" s="245"/>
      <c r="E159" s="245"/>
      <c r="F159" s="245"/>
      <c r="G159" s="245"/>
      <c r="H159" s="245"/>
      <c r="I159" s="245"/>
      <c r="J159" s="245"/>
      <c r="K159" s="245"/>
      <c r="L159" s="245"/>
      <c r="M159" s="245"/>
      <c r="N159" s="245"/>
      <c r="O159" s="245"/>
      <c r="P159" s="245"/>
      <c r="Q159" s="245"/>
      <c r="R159" s="245"/>
      <c r="S159" s="245"/>
      <c r="T159" s="245"/>
      <c r="U159" s="245"/>
      <c r="V159" s="245"/>
      <c r="W159" s="245"/>
    </row>
    <row r="160" spans="2:23" ht="12.75" customHeight="1" x14ac:dyDescent="0.25">
      <c r="B160" s="245"/>
      <c r="C160" s="245"/>
      <c r="D160" s="245"/>
      <c r="E160" s="245"/>
      <c r="F160" s="245"/>
      <c r="G160" s="245"/>
      <c r="H160" s="245"/>
      <c r="I160" s="245"/>
      <c r="J160" s="245"/>
      <c r="K160" s="245"/>
      <c r="L160" s="245"/>
      <c r="M160" s="245"/>
      <c r="N160" s="245"/>
      <c r="O160" s="245"/>
      <c r="P160" s="245"/>
      <c r="Q160" s="245"/>
      <c r="R160" s="245"/>
      <c r="S160" s="245"/>
      <c r="T160" s="245"/>
      <c r="U160" s="245"/>
      <c r="V160" s="245"/>
      <c r="W160" s="245"/>
    </row>
    <row r="161" spans="2:23" ht="12.75" customHeight="1" x14ac:dyDescent="0.25">
      <c r="B161" s="245"/>
      <c r="C161" s="245"/>
      <c r="D161" s="245"/>
      <c r="E161" s="245"/>
      <c r="F161" s="245"/>
      <c r="G161" s="245"/>
      <c r="H161" s="245"/>
      <c r="I161" s="245"/>
      <c r="J161" s="245"/>
      <c r="K161" s="245"/>
      <c r="L161" s="245"/>
      <c r="M161" s="245"/>
      <c r="N161" s="245"/>
      <c r="O161" s="245"/>
      <c r="P161" s="245"/>
      <c r="Q161" s="245"/>
      <c r="R161" s="245"/>
      <c r="S161" s="245"/>
      <c r="T161" s="245"/>
      <c r="U161" s="245"/>
      <c r="V161" s="245"/>
      <c r="W161" s="245"/>
    </row>
    <row r="162" spans="2:23" ht="12.75" customHeight="1" x14ac:dyDescent="0.25">
      <c r="B162" s="245"/>
      <c r="C162" s="245"/>
      <c r="D162" s="245"/>
      <c r="E162" s="245"/>
      <c r="F162" s="245"/>
      <c r="G162" s="245"/>
      <c r="H162" s="245"/>
      <c r="I162" s="245"/>
      <c r="J162" s="245"/>
      <c r="K162" s="245"/>
      <c r="L162" s="245"/>
      <c r="M162" s="245"/>
      <c r="N162" s="245"/>
      <c r="O162" s="245"/>
      <c r="P162" s="245"/>
      <c r="Q162" s="245"/>
      <c r="R162" s="245"/>
      <c r="S162" s="245"/>
      <c r="T162" s="245"/>
      <c r="U162" s="245"/>
      <c r="V162" s="245"/>
      <c r="W162" s="245"/>
    </row>
    <row r="163" spans="2:23" ht="12.75" customHeight="1" x14ac:dyDescent="0.25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  <c r="L163" s="245"/>
      <c r="M163" s="245"/>
      <c r="N163" s="245"/>
      <c r="O163" s="245"/>
      <c r="P163" s="245"/>
      <c r="Q163" s="245"/>
      <c r="R163" s="245"/>
      <c r="S163" s="245"/>
      <c r="T163" s="245"/>
      <c r="U163" s="245"/>
      <c r="V163" s="245"/>
      <c r="W163" s="245"/>
    </row>
    <row r="164" spans="2:23" ht="12.75" customHeight="1" x14ac:dyDescent="0.25">
      <c r="B164" s="245"/>
      <c r="C164" s="245"/>
      <c r="D164" s="245"/>
      <c r="E164" s="245"/>
      <c r="F164" s="245"/>
      <c r="G164" s="245"/>
      <c r="H164" s="245"/>
      <c r="I164" s="245"/>
      <c r="J164" s="245"/>
      <c r="K164" s="245"/>
      <c r="L164" s="245"/>
      <c r="M164" s="245"/>
      <c r="N164" s="245"/>
      <c r="O164" s="245"/>
      <c r="P164" s="245"/>
      <c r="Q164" s="245"/>
      <c r="R164" s="245"/>
      <c r="S164" s="245"/>
      <c r="T164" s="245"/>
      <c r="U164" s="245"/>
      <c r="V164" s="245"/>
      <c r="W164" s="245"/>
    </row>
    <row r="165" spans="2:23" ht="12.75" customHeight="1" x14ac:dyDescent="0.25">
      <c r="B165" s="245"/>
      <c r="C165" s="245"/>
      <c r="D165" s="245"/>
      <c r="E165" s="245"/>
      <c r="F165" s="245"/>
      <c r="G165" s="245"/>
      <c r="H165" s="245"/>
      <c r="I165" s="245"/>
      <c r="J165" s="245"/>
      <c r="K165" s="245"/>
      <c r="L165" s="245"/>
      <c r="M165" s="245"/>
      <c r="N165" s="245"/>
      <c r="O165" s="245"/>
      <c r="P165" s="245"/>
      <c r="Q165" s="245"/>
      <c r="R165" s="245"/>
      <c r="S165" s="245"/>
      <c r="T165" s="245"/>
      <c r="U165" s="245"/>
      <c r="V165" s="245"/>
      <c r="W165" s="245"/>
    </row>
    <row r="166" spans="2:23" ht="12.75" customHeight="1" x14ac:dyDescent="0.25">
      <c r="B166" s="245"/>
      <c r="C166" s="245"/>
      <c r="D166" s="245"/>
      <c r="E166" s="245"/>
      <c r="F166" s="245"/>
      <c r="G166" s="245"/>
      <c r="H166" s="245"/>
      <c r="I166" s="245"/>
      <c r="J166" s="245"/>
      <c r="K166" s="245"/>
      <c r="L166" s="245"/>
      <c r="M166" s="245"/>
      <c r="N166" s="245"/>
      <c r="O166" s="245"/>
      <c r="P166" s="245"/>
      <c r="Q166" s="245"/>
      <c r="R166" s="245"/>
      <c r="S166" s="245"/>
      <c r="T166" s="245"/>
      <c r="U166" s="245"/>
      <c r="V166" s="245"/>
      <c r="W166" s="245"/>
    </row>
    <row r="167" spans="2:23" ht="12.75" customHeight="1" x14ac:dyDescent="0.25">
      <c r="B167" s="245"/>
      <c r="C167" s="245"/>
      <c r="D167" s="245"/>
      <c r="E167" s="245"/>
      <c r="F167" s="245"/>
      <c r="G167" s="245"/>
      <c r="H167" s="245"/>
      <c r="I167" s="245"/>
      <c r="J167" s="245"/>
      <c r="K167" s="245"/>
      <c r="L167" s="245"/>
      <c r="M167" s="245"/>
      <c r="N167" s="245"/>
      <c r="O167" s="245"/>
      <c r="P167" s="245"/>
      <c r="Q167" s="245"/>
      <c r="R167" s="245"/>
      <c r="S167" s="245"/>
      <c r="T167" s="245"/>
      <c r="U167" s="245"/>
      <c r="V167" s="245"/>
      <c r="W167" s="245"/>
    </row>
    <row r="168" spans="2:23" ht="12.75" customHeight="1" x14ac:dyDescent="0.25">
      <c r="B168" s="245"/>
      <c r="C168" s="245"/>
      <c r="D168" s="245"/>
      <c r="E168" s="245"/>
      <c r="F168" s="245"/>
      <c r="G168" s="245"/>
      <c r="H168" s="245"/>
      <c r="I168" s="245"/>
      <c r="J168" s="245"/>
      <c r="K168" s="245"/>
      <c r="L168" s="245"/>
      <c r="M168" s="245"/>
      <c r="N168" s="245"/>
      <c r="O168" s="245"/>
      <c r="P168" s="245"/>
      <c r="Q168" s="245"/>
      <c r="R168" s="245"/>
      <c r="S168" s="245"/>
      <c r="T168" s="245"/>
      <c r="U168" s="245"/>
      <c r="V168" s="245"/>
      <c r="W168" s="245"/>
    </row>
    <row r="169" spans="2:23" ht="12.75" customHeight="1" x14ac:dyDescent="0.25">
      <c r="B169" s="245"/>
      <c r="C169" s="245"/>
      <c r="D169" s="245"/>
      <c r="E169" s="245"/>
      <c r="F169" s="245"/>
      <c r="G169" s="245"/>
      <c r="H169" s="245"/>
      <c r="I169" s="245"/>
      <c r="J169" s="245"/>
      <c r="K169" s="245"/>
      <c r="L169" s="245"/>
      <c r="M169" s="245"/>
      <c r="N169" s="245"/>
      <c r="O169" s="245"/>
      <c r="P169" s="245"/>
      <c r="Q169" s="245"/>
      <c r="R169" s="245"/>
      <c r="S169" s="245"/>
      <c r="T169" s="245"/>
      <c r="U169" s="245"/>
      <c r="V169" s="245"/>
      <c r="W169" s="245"/>
    </row>
    <row r="170" spans="2:23" ht="12.75" customHeight="1" x14ac:dyDescent="0.25">
      <c r="B170" s="245"/>
      <c r="C170" s="245"/>
      <c r="D170" s="245"/>
      <c r="E170" s="245"/>
      <c r="F170" s="245"/>
      <c r="G170" s="245"/>
      <c r="H170" s="245"/>
      <c r="I170" s="245"/>
      <c r="J170" s="245"/>
      <c r="K170" s="245"/>
      <c r="L170" s="245"/>
      <c r="M170" s="245"/>
      <c r="N170" s="245"/>
      <c r="O170" s="245"/>
      <c r="P170" s="245"/>
      <c r="Q170" s="245"/>
      <c r="R170" s="245"/>
      <c r="S170" s="245"/>
      <c r="T170" s="245"/>
      <c r="U170" s="245"/>
      <c r="V170" s="245"/>
      <c r="W170" s="245"/>
    </row>
    <row r="171" spans="2:23" ht="12.75" customHeight="1" x14ac:dyDescent="0.25">
      <c r="B171" s="245"/>
      <c r="C171" s="245"/>
      <c r="D171" s="245"/>
      <c r="E171" s="245"/>
      <c r="F171" s="245"/>
      <c r="G171" s="245"/>
      <c r="H171" s="245"/>
      <c r="I171" s="245"/>
      <c r="J171" s="245"/>
      <c r="K171" s="245"/>
      <c r="L171" s="245"/>
      <c r="M171" s="245"/>
      <c r="N171" s="245"/>
      <c r="O171" s="245"/>
      <c r="P171" s="245"/>
      <c r="Q171" s="245"/>
      <c r="R171" s="245"/>
      <c r="S171" s="245"/>
      <c r="T171" s="245"/>
      <c r="U171" s="245"/>
      <c r="V171" s="245"/>
      <c r="W171" s="245"/>
    </row>
    <row r="172" spans="2:23" ht="12.75" customHeight="1" x14ac:dyDescent="0.25">
      <c r="B172" s="245"/>
      <c r="C172" s="245"/>
      <c r="D172" s="245"/>
      <c r="E172" s="245"/>
      <c r="F172" s="245"/>
      <c r="G172" s="245"/>
      <c r="H172" s="245"/>
      <c r="I172" s="245"/>
      <c r="J172" s="245"/>
      <c r="K172" s="245"/>
      <c r="L172" s="245"/>
      <c r="M172" s="245"/>
      <c r="N172" s="245"/>
      <c r="O172" s="245"/>
      <c r="P172" s="245"/>
      <c r="Q172" s="245"/>
      <c r="R172" s="245"/>
      <c r="S172" s="245"/>
      <c r="T172" s="245"/>
      <c r="U172" s="245"/>
      <c r="V172" s="245"/>
      <c r="W172" s="245"/>
    </row>
    <row r="173" spans="2:23" ht="12.75" customHeight="1" x14ac:dyDescent="0.25">
      <c r="B173" s="245"/>
      <c r="C173" s="245"/>
      <c r="D173" s="245"/>
      <c r="E173" s="245"/>
      <c r="F173" s="245"/>
      <c r="G173" s="245"/>
      <c r="H173" s="245"/>
      <c r="I173" s="245"/>
      <c r="J173" s="245"/>
      <c r="K173" s="245"/>
      <c r="L173" s="245"/>
      <c r="M173" s="245"/>
      <c r="N173" s="245"/>
      <c r="O173" s="245"/>
      <c r="P173" s="245"/>
      <c r="Q173" s="245"/>
      <c r="R173" s="245"/>
      <c r="S173" s="245"/>
      <c r="T173" s="245"/>
      <c r="U173" s="245"/>
      <c r="V173" s="245"/>
      <c r="W173" s="245"/>
    </row>
    <row r="174" spans="2:23" ht="12.75" customHeight="1" x14ac:dyDescent="0.25">
      <c r="B174" s="245"/>
      <c r="C174" s="245"/>
      <c r="D174" s="245"/>
      <c r="E174" s="245"/>
      <c r="F174" s="245"/>
      <c r="G174" s="245"/>
      <c r="H174" s="245"/>
      <c r="I174" s="245"/>
      <c r="J174" s="245"/>
      <c r="K174" s="245"/>
      <c r="L174" s="245"/>
      <c r="M174" s="245"/>
      <c r="N174" s="245"/>
      <c r="O174" s="245"/>
      <c r="P174" s="245"/>
      <c r="Q174" s="245"/>
      <c r="R174" s="245"/>
      <c r="S174" s="245"/>
      <c r="T174" s="245"/>
      <c r="U174" s="245"/>
      <c r="V174" s="245"/>
      <c r="W174" s="245"/>
    </row>
    <row r="175" spans="2:23" ht="12.75" customHeight="1" x14ac:dyDescent="0.25">
      <c r="B175" s="245"/>
      <c r="C175" s="245"/>
      <c r="D175" s="245"/>
      <c r="E175" s="245"/>
      <c r="F175" s="245"/>
      <c r="G175" s="245"/>
      <c r="H175" s="245"/>
      <c r="I175" s="245"/>
      <c r="J175" s="245"/>
      <c r="K175" s="245"/>
      <c r="L175" s="245"/>
      <c r="M175" s="245"/>
      <c r="N175" s="245"/>
      <c r="O175" s="245"/>
      <c r="P175" s="245"/>
      <c r="Q175" s="245"/>
      <c r="R175" s="245"/>
      <c r="S175" s="245"/>
      <c r="T175" s="245"/>
      <c r="U175" s="245"/>
      <c r="V175" s="245"/>
      <c r="W175" s="245"/>
    </row>
    <row r="176" spans="2:23" ht="12.75" customHeight="1" x14ac:dyDescent="0.25">
      <c r="B176" s="245"/>
      <c r="C176" s="245"/>
      <c r="D176" s="245"/>
      <c r="E176" s="245"/>
      <c r="F176" s="245"/>
      <c r="G176" s="245"/>
      <c r="H176" s="245"/>
      <c r="I176" s="245"/>
      <c r="J176" s="245"/>
      <c r="K176" s="245"/>
      <c r="L176" s="245"/>
      <c r="M176" s="245"/>
      <c r="N176" s="245"/>
      <c r="O176" s="245"/>
      <c r="P176" s="245"/>
      <c r="Q176" s="245"/>
      <c r="R176" s="245"/>
      <c r="S176" s="245"/>
      <c r="T176" s="245"/>
      <c r="U176" s="245"/>
      <c r="V176" s="245"/>
      <c r="W176" s="245"/>
    </row>
    <row r="177" spans="2:23" ht="12.75" customHeight="1" x14ac:dyDescent="0.25">
      <c r="B177" s="245"/>
      <c r="C177" s="245"/>
      <c r="D177" s="245"/>
      <c r="E177" s="245"/>
      <c r="F177" s="245"/>
      <c r="G177" s="245"/>
      <c r="H177" s="245"/>
      <c r="I177" s="245"/>
      <c r="J177" s="245"/>
      <c r="K177" s="245"/>
      <c r="L177" s="245"/>
      <c r="M177" s="245"/>
      <c r="N177" s="245"/>
      <c r="O177" s="245"/>
      <c r="P177" s="245"/>
      <c r="Q177" s="245"/>
      <c r="R177" s="245"/>
      <c r="S177" s="245"/>
      <c r="T177" s="245"/>
      <c r="U177" s="245"/>
      <c r="V177" s="245"/>
      <c r="W177" s="245"/>
    </row>
    <row r="178" spans="2:23" ht="12.75" customHeight="1" x14ac:dyDescent="0.25">
      <c r="B178" s="245"/>
      <c r="C178" s="245"/>
      <c r="D178" s="245"/>
      <c r="E178" s="245"/>
      <c r="F178" s="245"/>
      <c r="G178" s="245"/>
      <c r="H178" s="245"/>
      <c r="I178" s="245"/>
      <c r="J178" s="245"/>
      <c r="K178" s="245"/>
      <c r="L178" s="245"/>
      <c r="M178" s="245"/>
      <c r="N178" s="245"/>
      <c r="O178" s="245"/>
      <c r="P178" s="245"/>
      <c r="Q178" s="245"/>
      <c r="R178" s="245"/>
      <c r="S178" s="245"/>
      <c r="T178" s="245"/>
      <c r="U178" s="245"/>
      <c r="V178" s="245"/>
      <c r="W178" s="245"/>
    </row>
    <row r="179" spans="2:23" ht="12.75" customHeight="1" x14ac:dyDescent="0.25">
      <c r="B179" s="245"/>
      <c r="C179" s="245"/>
      <c r="D179" s="245"/>
      <c r="E179" s="245"/>
      <c r="F179" s="245"/>
      <c r="G179" s="245"/>
      <c r="H179" s="245"/>
      <c r="I179" s="245"/>
      <c r="J179" s="245"/>
      <c r="K179" s="245"/>
      <c r="L179" s="245"/>
      <c r="M179" s="245"/>
      <c r="N179" s="245"/>
      <c r="O179" s="245"/>
      <c r="P179" s="245"/>
      <c r="Q179" s="245"/>
      <c r="R179" s="245"/>
      <c r="S179" s="245"/>
      <c r="T179" s="245"/>
      <c r="U179" s="245"/>
      <c r="V179" s="245"/>
      <c r="W179" s="245"/>
    </row>
    <row r="180" spans="2:23" ht="12.75" customHeight="1" x14ac:dyDescent="0.25">
      <c r="B180" s="245"/>
      <c r="C180" s="245"/>
      <c r="D180" s="245"/>
      <c r="E180" s="245"/>
      <c r="F180" s="245"/>
      <c r="G180" s="245"/>
      <c r="H180" s="245"/>
      <c r="I180" s="245"/>
      <c r="J180" s="245"/>
      <c r="K180" s="245"/>
      <c r="L180" s="245"/>
      <c r="M180" s="245"/>
      <c r="N180" s="245"/>
      <c r="O180" s="245"/>
      <c r="P180" s="245"/>
      <c r="Q180" s="245"/>
      <c r="R180" s="245"/>
      <c r="S180" s="245"/>
      <c r="T180" s="245"/>
      <c r="U180" s="245"/>
      <c r="V180" s="245"/>
      <c r="W180" s="245"/>
    </row>
    <row r="181" spans="2:23" ht="12.75" customHeight="1" x14ac:dyDescent="0.25">
      <c r="B181" s="245"/>
      <c r="C181" s="245"/>
      <c r="D181" s="245"/>
      <c r="E181" s="245"/>
      <c r="F181" s="245"/>
      <c r="G181" s="245"/>
      <c r="H181" s="245"/>
      <c r="I181" s="245"/>
      <c r="J181" s="245"/>
      <c r="K181" s="245"/>
      <c r="L181" s="245"/>
      <c r="M181" s="245"/>
      <c r="N181" s="245"/>
      <c r="O181" s="245"/>
      <c r="P181" s="245"/>
      <c r="Q181" s="245"/>
      <c r="R181" s="245"/>
      <c r="S181" s="245"/>
      <c r="T181" s="245"/>
      <c r="U181" s="245"/>
      <c r="V181" s="245"/>
      <c r="W181" s="245"/>
    </row>
    <row r="182" spans="2:23" ht="12.75" customHeight="1" x14ac:dyDescent="0.25">
      <c r="B182" s="245"/>
      <c r="C182" s="245"/>
      <c r="D182" s="245"/>
      <c r="E182" s="245"/>
      <c r="F182" s="245"/>
      <c r="G182" s="245"/>
      <c r="H182" s="245"/>
      <c r="I182" s="245"/>
      <c r="J182" s="245"/>
      <c r="K182" s="245"/>
      <c r="L182" s="245"/>
      <c r="M182" s="245"/>
      <c r="N182" s="245"/>
      <c r="O182" s="245"/>
      <c r="P182" s="245"/>
      <c r="Q182" s="245"/>
      <c r="R182" s="245"/>
      <c r="S182" s="245"/>
      <c r="T182" s="245"/>
      <c r="U182" s="245"/>
      <c r="V182" s="245"/>
      <c r="W182" s="245"/>
    </row>
    <row r="183" spans="2:23" ht="12.75" customHeight="1" x14ac:dyDescent="0.25">
      <c r="B183" s="245"/>
      <c r="C183" s="245"/>
      <c r="D183" s="245"/>
      <c r="E183" s="245"/>
      <c r="F183" s="245"/>
      <c r="G183" s="245"/>
      <c r="H183" s="245"/>
      <c r="I183" s="245"/>
      <c r="J183" s="245"/>
      <c r="K183" s="245"/>
      <c r="L183" s="245"/>
      <c r="M183" s="245"/>
      <c r="N183" s="245"/>
      <c r="O183" s="245"/>
      <c r="P183" s="245"/>
      <c r="Q183" s="245"/>
      <c r="R183" s="245"/>
      <c r="S183" s="245"/>
      <c r="T183" s="245"/>
      <c r="U183" s="245"/>
      <c r="V183" s="245"/>
      <c r="W183" s="245"/>
    </row>
    <row r="184" spans="2:23" ht="12.75" customHeight="1" x14ac:dyDescent="0.25">
      <c r="B184" s="245"/>
      <c r="C184" s="245"/>
      <c r="D184" s="245"/>
      <c r="E184" s="245"/>
      <c r="F184" s="245"/>
      <c r="G184" s="245"/>
      <c r="H184" s="245"/>
      <c r="I184" s="245"/>
      <c r="J184" s="245"/>
      <c r="K184" s="245"/>
      <c r="L184" s="245"/>
      <c r="M184" s="245"/>
      <c r="N184" s="245"/>
      <c r="O184" s="245"/>
      <c r="P184" s="245"/>
      <c r="Q184" s="245"/>
      <c r="R184" s="245"/>
      <c r="S184" s="245"/>
      <c r="T184" s="245"/>
      <c r="U184" s="245"/>
      <c r="V184" s="245"/>
      <c r="W184" s="245"/>
    </row>
    <row r="185" spans="2:23" ht="12.75" customHeight="1" x14ac:dyDescent="0.25">
      <c r="B185" s="245"/>
      <c r="C185" s="245"/>
      <c r="D185" s="245"/>
      <c r="E185" s="245"/>
      <c r="F185" s="245"/>
      <c r="G185" s="245"/>
      <c r="H185" s="245"/>
      <c r="I185" s="245"/>
      <c r="J185" s="245"/>
      <c r="K185" s="245"/>
      <c r="L185" s="245"/>
      <c r="M185" s="245"/>
      <c r="N185" s="245"/>
      <c r="O185" s="245"/>
      <c r="P185" s="245"/>
      <c r="Q185" s="245"/>
      <c r="R185" s="245"/>
      <c r="S185" s="245"/>
      <c r="T185" s="245"/>
      <c r="U185" s="245"/>
      <c r="V185" s="245"/>
      <c r="W185" s="245"/>
    </row>
    <row r="186" spans="2:23" ht="12.75" customHeight="1" x14ac:dyDescent="0.25">
      <c r="B186" s="245"/>
      <c r="C186" s="245"/>
      <c r="D186" s="245"/>
      <c r="E186" s="245"/>
      <c r="F186" s="245"/>
      <c r="G186" s="245"/>
      <c r="H186" s="245"/>
      <c r="I186" s="245"/>
      <c r="J186" s="245"/>
      <c r="K186" s="245"/>
      <c r="L186" s="245"/>
      <c r="M186" s="245"/>
      <c r="N186" s="245"/>
      <c r="O186" s="245"/>
      <c r="P186" s="245"/>
      <c r="Q186" s="245"/>
      <c r="R186" s="245"/>
      <c r="S186" s="245"/>
      <c r="T186" s="245"/>
      <c r="U186" s="245"/>
      <c r="V186" s="245"/>
      <c r="W186" s="245"/>
    </row>
    <row r="187" spans="2:23" ht="12.75" customHeight="1" x14ac:dyDescent="0.25">
      <c r="B187" s="245"/>
      <c r="C187" s="245"/>
      <c r="D187" s="245"/>
      <c r="E187" s="245"/>
      <c r="F187" s="245"/>
      <c r="G187" s="245"/>
      <c r="H187" s="245"/>
      <c r="I187" s="245"/>
      <c r="J187" s="245"/>
      <c r="K187" s="245"/>
      <c r="L187" s="245"/>
      <c r="M187" s="245"/>
      <c r="N187" s="245"/>
      <c r="O187" s="245"/>
      <c r="P187" s="245"/>
      <c r="Q187" s="245"/>
      <c r="R187" s="245"/>
      <c r="S187" s="245"/>
      <c r="T187" s="245"/>
      <c r="U187" s="245"/>
      <c r="V187" s="245"/>
      <c r="W187" s="245"/>
    </row>
    <row r="188" spans="2:23" ht="12.75" customHeight="1" x14ac:dyDescent="0.25">
      <c r="B188" s="245"/>
      <c r="C188" s="245"/>
      <c r="D188" s="245"/>
      <c r="E188" s="245"/>
      <c r="F188" s="245"/>
      <c r="G188" s="245"/>
      <c r="H188" s="245"/>
      <c r="I188" s="245"/>
      <c r="J188" s="245"/>
      <c r="K188" s="245"/>
      <c r="L188" s="245"/>
      <c r="M188" s="245"/>
      <c r="N188" s="245"/>
      <c r="O188" s="245"/>
      <c r="P188" s="245"/>
      <c r="Q188" s="245"/>
      <c r="R188" s="245"/>
      <c r="S188" s="245"/>
      <c r="T188" s="245"/>
      <c r="U188" s="245"/>
      <c r="V188" s="245"/>
      <c r="W188" s="245"/>
    </row>
    <row r="189" spans="2:23" ht="12.75" customHeight="1" x14ac:dyDescent="0.25">
      <c r="B189" s="245"/>
      <c r="C189" s="245"/>
      <c r="D189" s="245"/>
      <c r="E189" s="245"/>
      <c r="F189" s="245"/>
      <c r="G189" s="245"/>
      <c r="H189" s="245"/>
      <c r="I189" s="245"/>
      <c r="J189" s="245"/>
      <c r="K189" s="245"/>
      <c r="L189" s="245"/>
      <c r="M189" s="245"/>
      <c r="N189" s="245"/>
      <c r="O189" s="245"/>
      <c r="P189" s="245"/>
      <c r="Q189" s="245"/>
      <c r="R189" s="245"/>
      <c r="S189" s="245"/>
      <c r="T189" s="245"/>
      <c r="U189" s="245"/>
      <c r="V189" s="245"/>
      <c r="W189" s="245"/>
    </row>
    <row r="190" spans="2:23" ht="12.75" customHeight="1" x14ac:dyDescent="0.25">
      <c r="B190" s="245"/>
      <c r="C190" s="245"/>
      <c r="D190" s="245"/>
      <c r="E190" s="245"/>
      <c r="F190" s="245"/>
      <c r="G190" s="245"/>
      <c r="H190" s="245"/>
      <c r="I190" s="245"/>
      <c r="J190" s="245"/>
      <c r="K190" s="245"/>
      <c r="L190" s="245"/>
      <c r="M190" s="245"/>
      <c r="N190" s="245"/>
      <c r="O190" s="245"/>
      <c r="P190" s="245"/>
      <c r="Q190" s="245"/>
      <c r="R190" s="245"/>
      <c r="S190" s="245"/>
      <c r="T190" s="245"/>
      <c r="U190" s="245"/>
      <c r="V190" s="245"/>
      <c r="W190" s="245"/>
    </row>
    <row r="191" spans="2:23" ht="12.75" customHeight="1" x14ac:dyDescent="0.25">
      <c r="B191" s="245"/>
      <c r="C191" s="245"/>
      <c r="D191" s="245"/>
      <c r="E191" s="245"/>
      <c r="F191" s="245"/>
      <c r="G191" s="245"/>
      <c r="H191" s="245"/>
      <c r="I191" s="245"/>
      <c r="J191" s="245"/>
      <c r="K191" s="245"/>
      <c r="L191" s="245"/>
      <c r="M191" s="245"/>
      <c r="N191" s="245"/>
      <c r="O191" s="245"/>
      <c r="P191" s="245"/>
      <c r="Q191" s="245"/>
      <c r="R191" s="245"/>
      <c r="S191" s="245"/>
      <c r="T191" s="245"/>
      <c r="U191" s="245"/>
      <c r="V191" s="245"/>
      <c r="W191" s="245"/>
    </row>
    <row r="192" spans="2:23" ht="12.75" customHeight="1" x14ac:dyDescent="0.25">
      <c r="B192" s="245"/>
      <c r="C192" s="245"/>
      <c r="D192" s="245"/>
      <c r="E192" s="245"/>
      <c r="F192" s="245"/>
      <c r="G192" s="245"/>
      <c r="H192" s="245"/>
      <c r="I192" s="245"/>
      <c r="J192" s="245"/>
      <c r="K192" s="245"/>
      <c r="L192" s="245"/>
      <c r="M192" s="245"/>
      <c r="N192" s="245"/>
      <c r="O192" s="245"/>
      <c r="P192" s="245"/>
      <c r="Q192" s="245"/>
      <c r="R192" s="245"/>
      <c r="S192" s="245"/>
      <c r="T192" s="245"/>
      <c r="U192" s="245"/>
      <c r="V192" s="245"/>
      <c r="W192" s="245"/>
    </row>
    <row r="193" spans="2:23" ht="12.75" customHeight="1" x14ac:dyDescent="0.25">
      <c r="B193" s="245"/>
      <c r="C193" s="245"/>
      <c r="D193" s="245"/>
      <c r="E193" s="245"/>
      <c r="F193" s="245"/>
      <c r="G193" s="245"/>
      <c r="H193" s="245"/>
      <c r="I193" s="245"/>
      <c r="J193" s="245"/>
      <c r="K193" s="245"/>
      <c r="L193" s="245"/>
      <c r="M193" s="245"/>
      <c r="N193" s="245"/>
      <c r="O193" s="245"/>
      <c r="P193" s="245"/>
      <c r="Q193" s="245"/>
      <c r="R193" s="245"/>
      <c r="S193" s="245"/>
      <c r="T193" s="245"/>
      <c r="U193" s="245"/>
      <c r="V193" s="245"/>
      <c r="W193" s="245"/>
    </row>
    <row r="194" spans="2:23" ht="12.75" customHeight="1" x14ac:dyDescent="0.25">
      <c r="B194" s="245"/>
      <c r="C194" s="245"/>
      <c r="D194" s="245"/>
      <c r="E194" s="245"/>
      <c r="F194" s="245"/>
      <c r="G194" s="245"/>
      <c r="H194" s="245"/>
      <c r="I194" s="245"/>
      <c r="J194" s="245"/>
      <c r="K194" s="245"/>
      <c r="L194" s="245"/>
      <c r="M194" s="245"/>
      <c r="N194" s="245"/>
      <c r="O194" s="245"/>
      <c r="P194" s="245"/>
      <c r="Q194" s="245"/>
      <c r="R194" s="245"/>
      <c r="S194" s="245"/>
      <c r="T194" s="245"/>
      <c r="U194" s="245"/>
      <c r="V194" s="245"/>
      <c r="W194" s="245"/>
    </row>
    <row r="195" spans="2:23" ht="12.75" customHeight="1" x14ac:dyDescent="0.25">
      <c r="B195" s="245"/>
      <c r="C195" s="245"/>
      <c r="D195" s="245"/>
      <c r="E195" s="245"/>
      <c r="F195" s="245"/>
      <c r="G195" s="245"/>
      <c r="H195" s="245"/>
      <c r="I195" s="245"/>
      <c r="J195" s="245"/>
      <c r="K195" s="245"/>
      <c r="L195" s="245"/>
      <c r="M195" s="245"/>
      <c r="N195" s="245"/>
      <c r="O195" s="245"/>
      <c r="P195" s="245"/>
      <c r="Q195" s="245"/>
      <c r="R195" s="245"/>
      <c r="S195" s="245"/>
      <c r="T195" s="245"/>
      <c r="U195" s="245"/>
      <c r="V195" s="245"/>
      <c r="W195" s="245"/>
    </row>
    <row r="196" spans="2:23" ht="12.75" customHeight="1" x14ac:dyDescent="0.25">
      <c r="B196" s="245"/>
      <c r="C196" s="245"/>
      <c r="D196" s="245"/>
      <c r="E196" s="245"/>
      <c r="F196" s="245"/>
      <c r="G196" s="245"/>
      <c r="H196" s="245"/>
      <c r="I196" s="245"/>
      <c r="J196" s="245"/>
      <c r="K196" s="245"/>
      <c r="L196" s="245"/>
      <c r="M196" s="245"/>
      <c r="N196" s="245"/>
      <c r="O196" s="245"/>
      <c r="P196" s="245"/>
      <c r="Q196" s="245"/>
      <c r="R196" s="245"/>
      <c r="S196" s="245"/>
      <c r="T196" s="245"/>
      <c r="U196" s="245"/>
      <c r="V196" s="245"/>
      <c r="W196" s="245"/>
    </row>
    <row r="197" spans="2:23" ht="12.75" customHeight="1" x14ac:dyDescent="0.25">
      <c r="B197" s="245"/>
      <c r="C197" s="245"/>
      <c r="D197" s="245"/>
      <c r="E197" s="245"/>
      <c r="F197" s="245"/>
      <c r="G197" s="245"/>
      <c r="H197" s="245"/>
      <c r="I197" s="245"/>
      <c r="J197" s="245"/>
      <c r="K197" s="245"/>
      <c r="L197" s="245"/>
      <c r="M197" s="245"/>
      <c r="N197" s="245"/>
      <c r="O197" s="245"/>
      <c r="P197" s="245"/>
      <c r="Q197" s="245"/>
      <c r="R197" s="245"/>
      <c r="S197" s="245"/>
      <c r="T197" s="245"/>
      <c r="U197" s="245"/>
      <c r="V197" s="245"/>
      <c r="W197" s="245"/>
    </row>
    <row r="198" spans="2:23" ht="12.75" customHeight="1" x14ac:dyDescent="0.25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  <c r="L198" s="245"/>
      <c r="M198" s="245"/>
      <c r="N198" s="245"/>
      <c r="O198" s="245"/>
      <c r="P198" s="245"/>
      <c r="Q198" s="245"/>
      <c r="R198" s="245"/>
      <c r="S198" s="245"/>
      <c r="T198" s="245"/>
      <c r="U198" s="245"/>
      <c r="V198" s="245"/>
      <c r="W198" s="245"/>
    </row>
    <row r="199" spans="2:23" ht="12.75" customHeight="1" x14ac:dyDescent="0.25">
      <c r="B199" s="245"/>
      <c r="C199" s="245"/>
      <c r="D199" s="245"/>
      <c r="E199" s="245"/>
      <c r="F199" s="245"/>
      <c r="G199" s="245"/>
      <c r="H199" s="245"/>
      <c r="I199" s="245"/>
      <c r="J199" s="245"/>
      <c r="K199" s="245"/>
      <c r="L199" s="245"/>
      <c r="M199" s="245"/>
      <c r="N199" s="245"/>
      <c r="O199" s="245"/>
      <c r="P199" s="245"/>
      <c r="Q199" s="245"/>
      <c r="R199" s="245"/>
      <c r="S199" s="245"/>
      <c r="T199" s="245"/>
      <c r="U199" s="245"/>
      <c r="V199" s="245"/>
      <c r="W199" s="245"/>
    </row>
    <row r="200" spans="2:23" ht="12.75" customHeight="1" x14ac:dyDescent="0.25">
      <c r="B200" s="245"/>
      <c r="C200" s="245"/>
      <c r="D200" s="245"/>
      <c r="E200" s="245"/>
      <c r="F200" s="245"/>
      <c r="G200" s="245"/>
      <c r="H200" s="245"/>
      <c r="I200" s="245"/>
      <c r="J200" s="245"/>
      <c r="K200" s="245"/>
      <c r="L200" s="245"/>
      <c r="M200" s="245"/>
      <c r="N200" s="245"/>
      <c r="O200" s="245"/>
      <c r="P200" s="245"/>
      <c r="Q200" s="245"/>
      <c r="R200" s="245"/>
      <c r="S200" s="245"/>
      <c r="T200" s="245"/>
      <c r="U200" s="245"/>
      <c r="V200" s="245"/>
      <c r="W200" s="245"/>
    </row>
    <row r="201" spans="2:23" ht="12.75" customHeight="1" x14ac:dyDescent="0.25">
      <c r="B201" s="245"/>
      <c r="C201" s="245"/>
      <c r="D201" s="245"/>
      <c r="E201" s="245"/>
      <c r="F201" s="245"/>
      <c r="G201" s="245"/>
      <c r="H201" s="245"/>
      <c r="I201" s="245"/>
      <c r="J201" s="245"/>
      <c r="K201" s="245"/>
      <c r="L201" s="245"/>
      <c r="M201" s="245"/>
      <c r="N201" s="245"/>
      <c r="O201" s="245"/>
      <c r="P201" s="245"/>
      <c r="Q201" s="245"/>
      <c r="R201" s="245"/>
      <c r="S201" s="245"/>
      <c r="T201" s="245"/>
      <c r="U201" s="245"/>
      <c r="V201" s="245"/>
      <c r="W201" s="245"/>
    </row>
    <row r="202" spans="2:23" ht="12.75" customHeight="1" x14ac:dyDescent="0.25">
      <c r="B202" s="245"/>
      <c r="C202" s="245"/>
      <c r="D202" s="245"/>
      <c r="E202" s="245"/>
      <c r="F202" s="245"/>
      <c r="G202" s="245"/>
      <c r="H202" s="245"/>
      <c r="I202" s="245"/>
      <c r="J202" s="245"/>
      <c r="K202" s="245"/>
      <c r="L202" s="245"/>
      <c r="M202" s="245"/>
      <c r="N202" s="245"/>
      <c r="O202" s="245"/>
      <c r="P202" s="245"/>
      <c r="Q202" s="245"/>
      <c r="R202" s="245"/>
      <c r="S202" s="245"/>
      <c r="T202" s="245"/>
      <c r="U202" s="245"/>
      <c r="V202" s="245"/>
      <c r="W202" s="245"/>
    </row>
    <row r="203" spans="2:23" ht="12.75" customHeight="1" x14ac:dyDescent="0.25">
      <c r="B203" s="245"/>
      <c r="C203" s="245"/>
      <c r="D203" s="245"/>
      <c r="E203" s="245"/>
      <c r="F203" s="245"/>
      <c r="G203" s="245"/>
      <c r="H203" s="245"/>
      <c r="I203" s="245"/>
      <c r="J203" s="245"/>
      <c r="K203" s="245"/>
      <c r="L203" s="245"/>
      <c r="M203" s="245"/>
      <c r="N203" s="245"/>
      <c r="O203" s="245"/>
      <c r="P203" s="245"/>
      <c r="Q203" s="245"/>
      <c r="R203" s="245"/>
      <c r="S203" s="245"/>
      <c r="T203" s="245"/>
      <c r="U203" s="245"/>
      <c r="V203" s="245"/>
      <c r="W203" s="245"/>
    </row>
    <row r="204" spans="2:23" ht="12.75" customHeight="1" x14ac:dyDescent="0.25">
      <c r="B204" s="245"/>
      <c r="C204" s="245"/>
      <c r="D204" s="245"/>
      <c r="E204" s="245"/>
      <c r="F204" s="245"/>
      <c r="G204" s="245"/>
      <c r="H204" s="245"/>
      <c r="I204" s="245"/>
      <c r="J204" s="245"/>
      <c r="K204" s="245"/>
      <c r="L204" s="245"/>
      <c r="M204" s="245"/>
      <c r="N204" s="245"/>
      <c r="O204" s="245"/>
      <c r="P204" s="245"/>
      <c r="Q204" s="245"/>
      <c r="R204" s="245"/>
      <c r="S204" s="245"/>
      <c r="T204" s="245"/>
      <c r="U204" s="245"/>
      <c r="V204" s="245"/>
      <c r="W204" s="245"/>
    </row>
    <row r="205" spans="2:23" ht="12.75" customHeight="1" x14ac:dyDescent="0.25">
      <c r="B205" s="245"/>
      <c r="C205" s="245"/>
      <c r="D205" s="245"/>
      <c r="E205" s="245"/>
      <c r="F205" s="245"/>
      <c r="G205" s="245"/>
      <c r="H205" s="245"/>
      <c r="I205" s="245"/>
      <c r="J205" s="245"/>
      <c r="K205" s="245"/>
      <c r="L205" s="245"/>
      <c r="M205" s="245"/>
      <c r="N205" s="245"/>
      <c r="O205" s="245"/>
      <c r="P205" s="245"/>
      <c r="Q205" s="245"/>
      <c r="R205" s="245"/>
      <c r="S205" s="245"/>
      <c r="T205" s="245"/>
      <c r="U205" s="245"/>
      <c r="V205" s="245"/>
      <c r="W205" s="245"/>
    </row>
    <row r="206" spans="2:23" ht="12.75" customHeight="1" x14ac:dyDescent="0.25">
      <c r="B206" s="245"/>
      <c r="C206" s="245"/>
      <c r="D206" s="245"/>
      <c r="E206" s="245"/>
      <c r="F206" s="245"/>
      <c r="G206" s="245"/>
      <c r="H206" s="245"/>
      <c r="I206" s="245"/>
      <c r="J206" s="245"/>
      <c r="K206" s="245"/>
      <c r="L206" s="245"/>
      <c r="M206" s="245"/>
      <c r="N206" s="245"/>
      <c r="O206" s="245"/>
      <c r="P206" s="245"/>
      <c r="Q206" s="245"/>
      <c r="R206" s="245"/>
      <c r="S206" s="245"/>
      <c r="T206" s="245"/>
      <c r="U206" s="245"/>
      <c r="V206" s="245"/>
      <c r="W206" s="245"/>
    </row>
    <row r="207" spans="2:23" ht="12.75" customHeight="1" x14ac:dyDescent="0.25">
      <c r="B207" s="245"/>
      <c r="C207" s="245"/>
      <c r="D207" s="245"/>
      <c r="E207" s="245"/>
      <c r="F207" s="245"/>
      <c r="G207" s="245"/>
      <c r="H207" s="245"/>
      <c r="I207" s="245"/>
      <c r="J207" s="245"/>
      <c r="K207" s="245"/>
      <c r="L207" s="245"/>
      <c r="M207" s="245"/>
      <c r="N207" s="245"/>
      <c r="O207" s="245"/>
      <c r="P207" s="245"/>
      <c r="Q207" s="245"/>
      <c r="R207" s="245"/>
      <c r="S207" s="245"/>
      <c r="T207" s="245"/>
      <c r="U207" s="245"/>
      <c r="V207" s="245"/>
      <c r="W207" s="245"/>
    </row>
    <row r="208" spans="2:23" ht="12.75" customHeight="1" x14ac:dyDescent="0.25">
      <c r="B208" s="245"/>
      <c r="C208" s="245"/>
      <c r="D208" s="245"/>
      <c r="E208" s="245"/>
      <c r="F208" s="245"/>
      <c r="G208" s="245"/>
      <c r="H208" s="245"/>
      <c r="I208" s="245"/>
      <c r="J208" s="245"/>
      <c r="K208" s="245"/>
      <c r="L208" s="245"/>
      <c r="M208" s="245"/>
      <c r="N208" s="245"/>
      <c r="O208" s="245"/>
      <c r="P208" s="245"/>
      <c r="Q208" s="245"/>
      <c r="R208" s="245"/>
      <c r="S208" s="245"/>
      <c r="T208" s="245"/>
      <c r="U208" s="245"/>
      <c r="V208" s="245"/>
      <c r="W208" s="245"/>
    </row>
    <row r="209" spans="2:23" ht="12.75" customHeight="1" x14ac:dyDescent="0.25">
      <c r="B209" s="245"/>
      <c r="C209" s="245"/>
      <c r="D209" s="245"/>
      <c r="E209" s="245"/>
      <c r="F209" s="245"/>
      <c r="G209" s="245"/>
      <c r="H209" s="245"/>
      <c r="I209" s="245"/>
      <c r="J209" s="245"/>
      <c r="K209" s="245"/>
      <c r="L209" s="245"/>
      <c r="M209" s="245"/>
      <c r="N209" s="245"/>
      <c r="O209" s="245"/>
      <c r="P209" s="245"/>
      <c r="Q209" s="245"/>
      <c r="R209" s="245"/>
      <c r="S209" s="245"/>
      <c r="T209" s="245"/>
      <c r="U209" s="245"/>
      <c r="V209" s="245"/>
      <c r="W209" s="245"/>
    </row>
    <row r="210" spans="2:23" ht="12.75" customHeight="1" x14ac:dyDescent="0.25">
      <c r="B210" s="245"/>
      <c r="C210" s="245"/>
      <c r="D210" s="245"/>
      <c r="E210" s="245"/>
      <c r="F210" s="245"/>
      <c r="G210" s="245"/>
      <c r="H210" s="245"/>
      <c r="I210" s="245"/>
      <c r="J210" s="245"/>
      <c r="K210" s="245"/>
      <c r="L210" s="245"/>
      <c r="M210" s="245"/>
      <c r="N210" s="245"/>
      <c r="O210" s="245"/>
      <c r="P210" s="245"/>
      <c r="Q210" s="245"/>
      <c r="R210" s="245"/>
      <c r="S210" s="245"/>
      <c r="T210" s="245"/>
      <c r="U210" s="245"/>
      <c r="V210" s="245"/>
      <c r="W210" s="245"/>
    </row>
    <row r="211" spans="2:23" ht="12.75" customHeight="1" x14ac:dyDescent="0.25">
      <c r="B211" s="245"/>
      <c r="C211" s="245"/>
      <c r="D211" s="245"/>
      <c r="E211" s="245"/>
      <c r="F211" s="245"/>
      <c r="G211" s="245"/>
      <c r="H211" s="245"/>
      <c r="I211" s="245"/>
      <c r="J211" s="245"/>
      <c r="K211" s="245"/>
      <c r="L211" s="245"/>
      <c r="M211" s="245"/>
      <c r="N211" s="245"/>
      <c r="O211" s="245"/>
      <c r="P211" s="245"/>
      <c r="Q211" s="245"/>
      <c r="R211" s="245"/>
      <c r="S211" s="245"/>
      <c r="T211" s="245"/>
      <c r="U211" s="245"/>
      <c r="V211" s="245"/>
      <c r="W211" s="245"/>
    </row>
    <row r="212" spans="2:23" ht="12.75" customHeight="1" x14ac:dyDescent="0.25">
      <c r="B212" s="245"/>
      <c r="C212" s="245"/>
      <c r="D212" s="245"/>
      <c r="E212" s="245"/>
      <c r="F212" s="245"/>
      <c r="G212" s="245"/>
      <c r="H212" s="245"/>
      <c r="I212" s="245"/>
      <c r="J212" s="245"/>
      <c r="K212" s="245"/>
      <c r="L212" s="245"/>
      <c r="M212" s="245"/>
      <c r="N212" s="245"/>
      <c r="O212" s="245"/>
      <c r="P212" s="245"/>
      <c r="Q212" s="245"/>
      <c r="R212" s="245"/>
      <c r="S212" s="245"/>
      <c r="T212" s="245"/>
      <c r="U212" s="245"/>
      <c r="V212" s="245"/>
      <c r="W212" s="245"/>
    </row>
    <row r="213" spans="2:23" ht="12.75" customHeight="1" x14ac:dyDescent="0.25">
      <c r="B213" s="245"/>
      <c r="C213" s="245"/>
      <c r="D213" s="245"/>
      <c r="E213" s="245"/>
      <c r="F213" s="245"/>
      <c r="G213" s="245"/>
      <c r="H213" s="245"/>
      <c r="I213" s="245"/>
      <c r="J213" s="245"/>
      <c r="K213" s="245"/>
      <c r="L213" s="245"/>
      <c r="M213" s="245"/>
      <c r="N213" s="245"/>
      <c r="O213" s="245"/>
      <c r="P213" s="245"/>
      <c r="Q213" s="245"/>
      <c r="R213" s="245"/>
      <c r="S213" s="245"/>
      <c r="T213" s="245"/>
      <c r="U213" s="245"/>
      <c r="V213" s="245"/>
      <c r="W213" s="245"/>
    </row>
    <row r="214" spans="2:23" ht="12.75" customHeight="1" x14ac:dyDescent="0.25">
      <c r="B214" s="245"/>
      <c r="C214" s="245"/>
      <c r="D214" s="245"/>
      <c r="E214" s="245"/>
      <c r="F214" s="245"/>
      <c r="G214" s="245"/>
      <c r="H214" s="245"/>
      <c r="I214" s="245"/>
      <c r="J214" s="245"/>
      <c r="K214" s="245"/>
      <c r="L214" s="245"/>
      <c r="M214" s="245"/>
      <c r="N214" s="245"/>
      <c r="O214" s="245"/>
      <c r="P214" s="245"/>
      <c r="Q214" s="245"/>
      <c r="R214" s="245"/>
      <c r="S214" s="245"/>
      <c r="T214" s="245"/>
      <c r="U214" s="245"/>
      <c r="V214" s="245"/>
      <c r="W214" s="245"/>
    </row>
    <row r="215" spans="2:23" ht="12.75" customHeight="1" x14ac:dyDescent="0.25">
      <c r="B215" s="245"/>
      <c r="C215" s="245"/>
      <c r="D215" s="245"/>
      <c r="E215" s="245"/>
      <c r="F215" s="245"/>
      <c r="G215" s="245"/>
      <c r="H215" s="245"/>
      <c r="I215" s="245"/>
      <c r="J215" s="245"/>
      <c r="K215" s="245"/>
      <c r="L215" s="245"/>
      <c r="M215" s="245"/>
      <c r="N215" s="245"/>
      <c r="O215" s="245"/>
      <c r="P215" s="245"/>
      <c r="Q215" s="245"/>
      <c r="R215" s="245"/>
      <c r="S215" s="245"/>
      <c r="T215" s="245"/>
      <c r="U215" s="245"/>
      <c r="V215" s="245"/>
      <c r="W215" s="245"/>
    </row>
    <row r="216" spans="2:23" ht="12.75" customHeight="1" x14ac:dyDescent="0.25">
      <c r="B216" s="245"/>
      <c r="C216" s="245"/>
      <c r="D216" s="245"/>
      <c r="E216" s="245"/>
      <c r="F216" s="245"/>
      <c r="G216" s="245"/>
      <c r="H216" s="245"/>
      <c r="I216" s="245"/>
      <c r="J216" s="245"/>
      <c r="K216" s="245"/>
      <c r="L216" s="245"/>
      <c r="M216" s="245"/>
      <c r="N216" s="245"/>
      <c r="O216" s="245"/>
      <c r="P216" s="245"/>
      <c r="Q216" s="245"/>
      <c r="R216" s="245"/>
      <c r="S216" s="245"/>
      <c r="T216" s="245"/>
      <c r="U216" s="245"/>
      <c r="V216" s="245"/>
      <c r="W216" s="245"/>
    </row>
    <row r="217" spans="2:23" ht="12.75" customHeight="1" x14ac:dyDescent="0.25">
      <c r="B217" s="245"/>
      <c r="C217" s="245"/>
      <c r="D217" s="245"/>
      <c r="E217" s="245"/>
      <c r="F217" s="245"/>
      <c r="G217" s="245"/>
      <c r="H217" s="245"/>
      <c r="I217" s="245"/>
      <c r="J217" s="245"/>
      <c r="K217" s="245"/>
      <c r="L217" s="245"/>
      <c r="M217" s="245"/>
      <c r="N217" s="245"/>
      <c r="O217" s="245"/>
      <c r="P217" s="245"/>
      <c r="Q217" s="245"/>
      <c r="R217" s="245"/>
      <c r="S217" s="245"/>
      <c r="T217" s="245"/>
      <c r="U217" s="245"/>
      <c r="V217" s="245"/>
      <c r="W217" s="245"/>
    </row>
    <row r="218" spans="2:23" ht="12.75" customHeight="1" x14ac:dyDescent="0.25">
      <c r="B218" s="245"/>
      <c r="C218" s="245"/>
      <c r="D218" s="245"/>
      <c r="E218" s="245"/>
      <c r="F218" s="245"/>
      <c r="G218" s="245"/>
      <c r="H218" s="245"/>
      <c r="I218" s="245"/>
      <c r="J218" s="245"/>
      <c r="K218" s="245"/>
      <c r="L218" s="245"/>
      <c r="M218" s="245"/>
      <c r="N218" s="245"/>
      <c r="O218" s="245"/>
      <c r="P218" s="245"/>
      <c r="Q218" s="245"/>
      <c r="R218" s="245"/>
      <c r="S218" s="245"/>
      <c r="T218" s="245"/>
      <c r="U218" s="245"/>
      <c r="V218" s="245"/>
      <c r="W218" s="245"/>
    </row>
    <row r="219" spans="2:23" ht="12.75" customHeight="1" x14ac:dyDescent="0.25">
      <c r="B219" s="245"/>
      <c r="C219" s="245"/>
      <c r="D219" s="245"/>
      <c r="E219" s="245"/>
      <c r="F219" s="245"/>
      <c r="G219" s="245"/>
      <c r="H219" s="245"/>
      <c r="I219" s="245"/>
      <c r="J219" s="245"/>
      <c r="K219" s="245"/>
      <c r="L219" s="245"/>
      <c r="M219" s="245"/>
      <c r="N219" s="245"/>
      <c r="O219" s="245"/>
      <c r="P219" s="245"/>
      <c r="Q219" s="245"/>
      <c r="R219" s="245"/>
      <c r="S219" s="245"/>
      <c r="T219" s="245"/>
      <c r="U219" s="245"/>
      <c r="V219" s="245"/>
      <c r="W219" s="245"/>
    </row>
    <row r="220" spans="2:23" ht="12.75" customHeight="1" x14ac:dyDescent="0.25">
      <c r="B220" s="245"/>
      <c r="C220" s="245"/>
      <c r="D220" s="245"/>
      <c r="E220" s="245"/>
      <c r="F220" s="245"/>
      <c r="G220" s="245"/>
      <c r="H220" s="245"/>
      <c r="I220" s="245"/>
      <c r="J220" s="245"/>
      <c r="K220" s="245"/>
      <c r="L220" s="245"/>
      <c r="M220" s="245"/>
      <c r="N220" s="245"/>
      <c r="O220" s="245"/>
      <c r="P220" s="245"/>
      <c r="Q220" s="245"/>
      <c r="R220" s="245"/>
      <c r="S220" s="245"/>
      <c r="T220" s="245"/>
      <c r="U220" s="245"/>
      <c r="V220" s="245"/>
      <c r="W220" s="245"/>
    </row>
    <row r="221" spans="2:23" ht="12.75" customHeight="1" x14ac:dyDescent="0.25">
      <c r="B221" s="245"/>
      <c r="C221" s="245"/>
      <c r="D221" s="245"/>
      <c r="E221" s="245"/>
      <c r="F221" s="245"/>
      <c r="G221" s="245"/>
      <c r="H221" s="245"/>
      <c r="I221" s="245"/>
      <c r="J221" s="245"/>
      <c r="K221" s="245"/>
      <c r="L221" s="245"/>
      <c r="M221" s="245"/>
      <c r="N221" s="245"/>
      <c r="O221" s="245"/>
      <c r="P221" s="245"/>
      <c r="Q221" s="245"/>
      <c r="R221" s="245"/>
      <c r="S221" s="245"/>
      <c r="T221" s="245"/>
      <c r="U221" s="245"/>
      <c r="V221" s="245"/>
      <c r="W221" s="245"/>
    </row>
    <row r="222" spans="2:23" ht="12.75" customHeight="1" x14ac:dyDescent="0.25">
      <c r="B222" s="245"/>
      <c r="C222" s="245"/>
      <c r="D222" s="245"/>
      <c r="E222" s="245"/>
      <c r="F222" s="245"/>
      <c r="G222" s="245"/>
      <c r="H222" s="245"/>
      <c r="I222" s="245"/>
      <c r="J222" s="245"/>
      <c r="K222" s="245"/>
      <c r="L222" s="245"/>
      <c r="M222" s="245"/>
      <c r="N222" s="245"/>
      <c r="O222" s="245"/>
      <c r="P222" s="245"/>
      <c r="Q222" s="245"/>
      <c r="R222" s="245"/>
      <c r="S222" s="245"/>
      <c r="T222" s="245"/>
      <c r="U222" s="245"/>
      <c r="V222" s="245"/>
      <c r="W222" s="245"/>
    </row>
    <row r="223" spans="2:23" ht="12.75" customHeight="1" x14ac:dyDescent="0.25">
      <c r="B223" s="245"/>
      <c r="C223" s="245"/>
      <c r="D223" s="245"/>
      <c r="E223" s="245"/>
      <c r="F223" s="245"/>
      <c r="G223" s="245"/>
      <c r="H223" s="245"/>
      <c r="I223" s="245"/>
      <c r="J223" s="245"/>
      <c r="K223" s="245"/>
      <c r="L223" s="245"/>
      <c r="M223" s="245"/>
      <c r="N223" s="245"/>
      <c r="O223" s="245"/>
      <c r="P223" s="245"/>
      <c r="Q223" s="245"/>
      <c r="R223" s="245"/>
      <c r="S223" s="245"/>
      <c r="T223" s="245"/>
      <c r="U223" s="245"/>
      <c r="V223" s="245"/>
      <c r="W223" s="245"/>
    </row>
    <row r="224" spans="2:23" ht="12.75" customHeight="1" x14ac:dyDescent="0.25">
      <c r="B224" s="245"/>
      <c r="C224" s="245"/>
      <c r="D224" s="245"/>
      <c r="E224" s="245"/>
      <c r="F224" s="245"/>
      <c r="G224" s="245"/>
      <c r="H224" s="245"/>
      <c r="I224" s="245"/>
      <c r="J224" s="245"/>
      <c r="K224" s="245"/>
      <c r="L224" s="245"/>
      <c r="M224" s="245"/>
      <c r="N224" s="245"/>
      <c r="O224" s="245"/>
      <c r="P224" s="245"/>
      <c r="Q224" s="245"/>
      <c r="R224" s="245"/>
      <c r="S224" s="245"/>
      <c r="T224" s="245"/>
      <c r="U224" s="245"/>
      <c r="V224" s="245"/>
      <c r="W224" s="245"/>
    </row>
    <row r="225" spans="2:23" ht="12.75" customHeight="1" x14ac:dyDescent="0.25">
      <c r="B225" s="245"/>
      <c r="C225" s="245"/>
      <c r="D225" s="245"/>
      <c r="E225" s="245"/>
      <c r="F225" s="245"/>
      <c r="G225" s="245"/>
      <c r="H225" s="245"/>
      <c r="I225" s="245"/>
      <c r="J225" s="245"/>
      <c r="K225" s="245"/>
      <c r="L225" s="245"/>
      <c r="M225" s="245"/>
      <c r="N225" s="245"/>
      <c r="O225" s="245"/>
      <c r="P225" s="245"/>
      <c r="Q225" s="245"/>
      <c r="R225" s="245"/>
      <c r="S225" s="245"/>
      <c r="T225" s="245"/>
      <c r="U225" s="245"/>
      <c r="V225" s="245"/>
      <c r="W225" s="245"/>
    </row>
    <row r="226" spans="2:23" ht="12.75" customHeight="1" x14ac:dyDescent="0.25">
      <c r="B226" s="245"/>
      <c r="C226" s="245"/>
      <c r="D226" s="245"/>
      <c r="E226" s="245"/>
      <c r="F226" s="245"/>
      <c r="G226" s="245"/>
      <c r="H226" s="245"/>
      <c r="I226" s="245"/>
      <c r="J226" s="245"/>
      <c r="K226" s="245"/>
      <c r="L226" s="245"/>
      <c r="M226" s="245"/>
      <c r="N226" s="245"/>
      <c r="O226" s="245"/>
      <c r="P226" s="245"/>
      <c r="Q226" s="245"/>
      <c r="R226" s="245"/>
      <c r="S226" s="245"/>
      <c r="T226" s="245"/>
      <c r="U226" s="245"/>
      <c r="V226" s="245"/>
      <c r="W226" s="245"/>
    </row>
    <row r="227" spans="2:23" ht="12.75" customHeight="1" x14ac:dyDescent="0.25">
      <c r="B227" s="245"/>
      <c r="C227" s="245"/>
      <c r="D227" s="245"/>
      <c r="E227" s="245"/>
      <c r="F227" s="245"/>
      <c r="G227" s="245"/>
      <c r="H227" s="245"/>
      <c r="I227" s="245"/>
      <c r="J227" s="245"/>
      <c r="K227" s="245"/>
      <c r="L227" s="245"/>
      <c r="M227" s="245"/>
      <c r="N227" s="245"/>
      <c r="O227" s="245"/>
      <c r="P227" s="245"/>
      <c r="Q227" s="245"/>
      <c r="R227" s="245"/>
      <c r="S227" s="245"/>
      <c r="T227" s="245"/>
      <c r="U227" s="245"/>
      <c r="V227" s="245"/>
      <c r="W227" s="245"/>
    </row>
    <row r="228" spans="2:23" ht="12.75" customHeight="1" x14ac:dyDescent="0.25">
      <c r="B228" s="245"/>
      <c r="C228" s="245"/>
      <c r="D228" s="245"/>
      <c r="E228" s="245"/>
      <c r="F228" s="245"/>
      <c r="G228" s="245"/>
      <c r="H228" s="245"/>
      <c r="I228" s="245"/>
      <c r="J228" s="245"/>
      <c r="K228" s="245"/>
      <c r="L228" s="245"/>
      <c r="M228" s="245"/>
      <c r="N228" s="245"/>
      <c r="O228" s="245"/>
      <c r="P228" s="245"/>
      <c r="Q228" s="245"/>
      <c r="R228" s="245"/>
      <c r="S228" s="245"/>
      <c r="T228" s="245"/>
      <c r="U228" s="245"/>
      <c r="V228" s="245"/>
      <c r="W228" s="245"/>
    </row>
    <row r="229" spans="2:23" ht="12.75" customHeight="1" x14ac:dyDescent="0.25">
      <c r="B229" s="245"/>
      <c r="C229" s="245"/>
      <c r="D229" s="245"/>
      <c r="E229" s="245"/>
      <c r="F229" s="245"/>
      <c r="G229" s="245"/>
      <c r="H229" s="245"/>
      <c r="I229" s="245"/>
      <c r="J229" s="245"/>
      <c r="K229" s="245"/>
      <c r="L229" s="245"/>
      <c r="M229" s="245"/>
      <c r="N229" s="245"/>
      <c r="O229" s="245"/>
      <c r="P229" s="245"/>
      <c r="Q229" s="245"/>
      <c r="R229" s="245"/>
      <c r="S229" s="245"/>
      <c r="T229" s="245"/>
      <c r="U229" s="245"/>
      <c r="V229" s="245"/>
      <c r="W229" s="245"/>
    </row>
    <row r="230" spans="2:23" ht="12.75" customHeight="1" x14ac:dyDescent="0.25">
      <c r="B230" s="245"/>
      <c r="C230" s="245"/>
      <c r="D230" s="245"/>
      <c r="E230" s="245"/>
      <c r="F230" s="245"/>
      <c r="G230" s="245"/>
      <c r="H230" s="245"/>
      <c r="I230" s="245"/>
      <c r="J230" s="245"/>
      <c r="K230" s="245"/>
      <c r="L230" s="245"/>
      <c r="M230" s="245"/>
      <c r="N230" s="245"/>
      <c r="O230" s="245"/>
      <c r="P230" s="245"/>
      <c r="Q230" s="245"/>
      <c r="R230" s="245"/>
      <c r="S230" s="245"/>
      <c r="T230" s="245"/>
      <c r="U230" s="245"/>
      <c r="V230" s="245"/>
      <c r="W230" s="245"/>
    </row>
    <row r="231" spans="2:23" ht="12.75" customHeight="1" x14ac:dyDescent="0.25">
      <c r="B231" s="245"/>
      <c r="C231" s="245"/>
      <c r="D231" s="245"/>
      <c r="E231" s="245"/>
      <c r="F231" s="245"/>
      <c r="G231" s="245"/>
      <c r="H231" s="245"/>
      <c r="I231" s="245"/>
      <c r="J231" s="245"/>
      <c r="K231" s="245"/>
      <c r="L231" s="245"/>
      <c r="M231" s="245"/>
      <c r="N231" s="245"/>
      <c r="O231" s="245"/>
      <c r="P231" s="245"/>
      <c r="Q231" s="245"/>
      <c r="R231" s="245"/>
      <c r="S231" s="245"/>
      <c r="T231" s="245"/>
      <c r="U231" s="245"/>
      <c r="V231" s="245"/>
      <c r="W231" s="245"/>
    </row>
    <row r="232" spans="2:23" ht="12.75" customHeight="1" x14ac:dyDescent="0.25">
      <c r="B232" s="245"/>
      <c r="C232" s="245"/>
      <c r="D232" s="245"/>
      <c r="E232" s="245"/>
      <c r="F232" s="245"/>
      <c r="G232" s="245"/>
      <c r="H232" s="245"/>
      <c r="I232" s="245"/>
      <c r="J232" s="245"/>
      <c r="K232" s="245"/>
      <c r="L232" s="245"/>
      <c r="M232" s="245"/>
      <c r="N232" s="245"/>
      <c r="O232" s="245"/>
      <c r="P232" s="245"/>
      <c r="Q232" s="245"/>
      <c r="R232" s="245"/>
      <c r="S232" s="245"/>
      <c r="T232" s="245"/>
      <c r="U232" s="245"/>
      <c r="V232" s="245"/>
      <c r="W232" s="245"/>
    </row>
    <row r="233" spans="2:23" ht="12.75" customHeight="1" x14ac:dyDescent="0.25">
      <c r="B233" s="245"/>
      <c r="C233" s="245"/>
      <c r="D233" s="245"/>
      <c r="E233" s="245"/>
      <c r="F233" s="245"/>
      <c r="G233" s="245"/>
      <c r="H233" s="245"/>
      <c r="I233" s="245"/>
      <c r="J233" s="245"/>
      <c r="K233" s="245"/>
      <c r="L233" s="245"/>
      <c r="M233" s="245"/>
      <c r="N233" s="245"/>
      <c r="O233" s="245"/>
      <c r="P233" s="245"/>
      <c r="Q233" s="245"/>
      <c r="R233" s="245"/>
      <c r="S233" s="245"/>
      <c r="T233" s="245"/>
      <c r="U233" s="245"/>
      <c r="V233" s="245"/>
      <c r="W233" s="245"/>
    </row>
    <row r="234" spans="2:23" ht="12.75" customHeight="1" x14ac:dyDescent="0.25">
      <c r="B234" s="245"/>
      <c r="C234" s="245"/>
      <c r="D234" s="245"/>
      <c r="E234" s="245"/>
      <c r="F234" s="245"/>
      <c r="G234" s="245"/>
      <c r="H234" s="245"/>
      <c r="I234" s="245"/>
      <c r="J234" s="245"/>
      <c r="K234" s="245"/>
      <c r="L234" s="245"/>
      <c r="M234" s="245"/>
      <c r="N234" s="245"/>
      <c r="O234" s="245"/>
      <c r="P234" s="245"/>
      <c r="Q234" s="245"/>
      <c r="R234" s="245"/>
      <c r="S234" s="245"/>
      <c r="T234" s="245"/>
      <c r="U234" s="245"/>
      <c r="V234" s="245"/>
      <c r="W234" s="245"/>
    </row>
    <row r="235" spans="2:23" ht="12.75" customHeight="1" x14ac:dyDescent="0.25">
      <c r="B235" s="245"/>
      <c r="C235" s="245"/>
      <c r="D235" s="245"/>
      <c r="E235" s="245"/>
      <c r="F235" s="245"/>
      <c r="G235" s="245"/>
      <c r="H235" s="245"/>
      <c r="I235" s="245"/>
      <c r="J235" s="245"/>
      <c r="K235" s="245"/>
      <c r="L235" s="245"/>
      <c r="M235" s="245"/>
      <c r="N235" s="245"/>
      <c r="O235" s="245"/>
      <c r="P235" s="245"/>
      <c r="Q235" s="245"/>
      <c r="R235" s="245"/>
      <c r="S235" s="245"/>
      <c r="T235" s="245"/>
      <c r="U235" s="245"/>
      <c r="V235" s="245"/>
      <c r="W235" s="245"/>
    </row>
    <row r="236" spans="2:23" ht="12.75" customHeight="1" x14ac:dyDescent="0.25">
      <c r="B236" s="245"/>
      <c r="C236" s="245"/>
      <c r="D236" s="245"/>
      <c r="E236" s="245"/>
      <c r="F236" s="245"/>
      <c r="G236" s="245"/>
      <c r="H236" s="245"/>
      <c r="I236" s="245"/>
      <c r="J236" s="245"/>
      <c r="K236" s="245"/>
      <c r="L236" s="245"/>
      <c r="M236" s="245"/>
      <c r="N236" s="245"/>
      <c r="O236" s="245"/>
      <c r="P236" s="245"/>
      <c r="Q236" s="245"/>
      <c r="R236" s="245"/>
      <c r="S236" s="245"/>
      <c r="T236" s="245"/>
      <c r="U236" s="245"/>
      <c r="V236" s="245"/>
      <c r="W236" s="245"/>
    </row>
    <row r="237" spans="2:23" ht="12.75" customHeight="1" x14ac:dyDescent="0.25">
      <c r="B237" s="245"/>
      <c r="C237" s="245"/>
      <c r="D237" s="245"/>
      <c r="E237" s="245"/>
      <c r="F237" s="245"/>
      <c r="G237" s="245"/>
      <c r="H237" s="245"/>
      <c r="I237" s="245"/>
      <c r="J237" s="245"/>
      <c r="K237" s="245"/>
      <c r="L237" s="245"/>
      <c r="M237" s="245"/>
      <c r="N237" s="245"/>
      <c r="O237" s="245"/>
      <c r="P237" s="245"/>
      <c r="Q237" s="245"/>
      <c r="R237" s="245"/>
      <c r="S237" s="245"/>
      <c r="T237" s="245"/>
      <c r="U237" s="245"/>
      <c r="V237" s="245"/>
      <c r="W237" s="245"/>
    </row>
    <row r="238" spans="2:23" ht="12.75" customHeight="1" x14ac:dyDescent="0.25">
      <c r="B238" s="245"/>
      <c r="C238" s="245"/>
      <c r="D238" s="245"/>
      <c r="E238" s="245"/>
      <c r="F238" s="245"/>
      <c r="G238" s="245"/>
      <c r="H238" s="245"/>
      <c r="I238" s="245"/>
      <c r="J238" s="245"/>
      <c r="K238" s="245"/>
      <c r="L238" s="245"/>
      <c r="M238" s="245"/>
      <c r="N238" s="245"/>
      <c r="O238" s="245"/>
      <c r="P238" s="245"/>
      <c r="Q238" s="245"/>
      <c r="R238" s="245"/>
      <c r="S238" s="245"/>
      <c r="T238" s="245"/>
      <c r="U238" s="245"/>
      <c r="V238" s="245"/>
      <c r="W238" s="245"/>
    </row>
    <row r="239" spans="2:23" ht="12.75" customHeight="1" x14ac:dyDescent="0.25">
      <c r="B239" s="245"/>
      <c r="C239" s="245"/>
      <c r="D239" s="245"/>
      <c r="E239" s="245"/>
      <c r="F239" s="245"/>
      <c r="G239" s="245"/>
      <c r="H239" s="245"/>
      <c r="I239" s="245"/>
      <c r="J239" s="245"/>
      <c r="K239" s="245"/>
      <c r="L239" s="245"/>
      <c r="M239" s="245"/>
      <c r="N239" s="245"/>
      <c r="O239" s="245"/>
      <c r="P239" s="245"/>
      <c r="Q239" s="245"/>
      <c r="R239" s="245"/>
      <c r="S239" s="245"/>
      <c r="T239" s="245"/>
      <c r="U239" s="245"/>
      <c r="V239" s="245"/>
      <c r="W239" s="245"/>
    </row>
    <row r="240" spans="2:23" ht="12.75" customHeight="1" x14ac:dyDescent="0.25">
      <c r="B240" s="245"/>
      <c r="C240" s="245"/>
      <c r="D240" s="245"/>
      <c r="E240" s="245"/>
      <c r="F240" s="245"/>
      <c r="G240" s="245"/>
      <c r="H240" s="245"/>
      <c r="I240" s="245"/>
      <c r="J240" s="245"/>
      <c r="K240" s="245"/>
      <c r="L240" s="245"/>
      <c r="M240" s="245"/>
      <c r="N240" s="245"/>
      <c r="O240" s="245"/>
      <c r="P240" s="245"/>
      <c r="Q240" s="245"/>
      <c r="R240" s="245"/>
      <c r="S240" s="245"/>
      <c r="T240" s="245"/>
      <c r="U240" s="245"/>
      <c r="V240" s="245"/>
      <c r="W240" s="245"/>
    </row>
    <row r="241" spans="2:23" ht="12.75" customHeight="1" x14ac:dyDescent="0.25">
      <c r="B241" s="245"/>
      <c r="C241" s="245"/>
      <c r="D241" s="245"/>
      <c r="E241" s="245"/>
      <c r="F241" s="245"/>
      <c r="G241" s="245"/>
      <c r="H241" s="245"/>
      <c r="I241" s="245"/>
      <c r="J241" s="245"/>
      <c r="K241" s="245"/>
      <c r="L241" s="245"/>
      <c r="M241" s="245"/>
      <c r="N241" s="245"/>
      <c r="O241" s="245"/>
      <c r="P241" s="245"/>
      <c r="Q241" s="245"/>
      <c r="R241" s="245"/>
      <c r="S241" s="245"/>
      <c r="T241" s="245"/>
      <c r="U241" s="245"/>
      <c r="V241" s="245"/>
      <c r="W241" s="245"/>
    </row>
    <row r="242" spans="2:23" ht="12.75" customHeight="1" x14ac:dyDescent="0.25">
      <c r="B242" s="245"/>
      <c r="C242" s="245"/>
      <c r="D242" s="245"/>
      <c r="E242" s="245"/>
      <c r="F242" s="245"/>
      <c r="G242" s="245"/>
      <c r="H242" s="245"/>
      <c r="I242" s="245"/>
      <c r="J242" s="245"/>
      <c r="K242" s="245"/>
      <c r="L242" s="245"/>
      <c r="M242" s="245"/>
      <c r="N242" s="245"/>
      <c r="O242" s="245"/>
      <c r="P242" s="245"/>
      <c r="Q242" s="245"/>
      <c r="R242" s="245"/>
      <c r="S242" s="245"/>
      <c r="T242" s="245"/>
      <c r="U242" s="245"/>
      <c r="V242" s="245"/>
      <c r="W242" s="245"/>
    </row>
    <row r="243" spans="2:23" ht="12.75" customHeight="1" x14ac:dyDescent="0.25">
      <c r="B243" s="245"/>
      <c r="C243" s="245"/>
      <c r="D243" s="245"/>
      <c r="E243" s="245"/>
      <c r="F243" s="245"/>
      <c r="G243" s="245"/>
      <c r="H243" s="245"/>
      <c r="I243" s="245"/>
      <c r="J243" s="245"/>
      <c r="K243" s="245"/>
      <c r="L243" s="245"/>
      <c r="M243" s="245"/>
      <c r="N243" s="245"/>
      <c r="O243" s="245"/>
      <c r="P243" s="245"/>
      <c r="Q243" s="245"/>
      <c r="R243" s="245"/>
      <c r="S243" s="245"/>
      <c r="T243" s="245"/>
      <c r="U243" s="245"/>
      <c r="V243" s="245"/>
      <c r="W243" s="245"/>
    </row>
    <row r="244" spans="2:23" ht="12.75" customHeight="1" x14ac:dyDescent="0.25">
      <c r="B244" s="245"/>
      <c r="C244" s="245"/>
      <c r="D244" s="245"/>
      <c r="E244" s="245"/>
      <c r="F244" s="245"/>
      <c r="G244" s="245"/>
      <c r="H244" s="245"/>
      <c r="I244" s="245"/>
      <c r="J244" s="245"/>
      <c r="K244" s="245"/>
      <c r="L244" s="245"/>
      <c r="M244" s="245"/>
      <c r="N244" s="245"/>
      <c r="O244" s="245"/>
      <c r="P244" s="245"/>
      <c r="Q244" s="245"/>
      <c r="R244" s="245"/>
      <c r="S244" s="245"/>
      <c r="T244" s="245"/>
      <c r="U244" s="245"/>
      <c r="V244" s="245"/>
      <c r="W244" s="245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7" max="16383" man="1"/>
    <brk id="6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63"/>
  <sheetViews>
    <sheetView view="pageBreakPreview" zoomScaleSheetLayoutView="100" workbookViewId="0">
      <selection activeCell="T25" sqref="T25"/>
    </sheetView>
  </sheetViews>
  <sheetFormatPr defaultColWidth="9.109375" defaultRowHeight="13.8" x14ac:dyDescent="0.25"/>
  <cols>
    <col min="1" max="1" width="5.44140625" style="485" customWidth="1"/>
    <col min="2" max="2" width="5" style="485" customWidth="1"/>
    <col min="3" max="3" width="20.109375" style="485" customWidth="1"/>
    <col min="4" max="4" width="3.33203125" style="485" customWidth="1"/>
    <col min="5" max="5" width="14" style="62" customWidth="1"/>
    <col min="6" max="6" width="9.109375" style="485"/>
    <col min="7" max="7" width="10.33203125" style="485" customWidth="1"/>
    <col min="8" max="13" width="9.109375" style="485"/>
    <col min="14" max="15" width="3.44140625" style="485" customWidth="1"/>
    <col min="16" max="16" width="5.5546875" style="485" customWidth="1"/>
    <col min="17" max="16384" width="9.109375" style="485"/>
  </cols>
  <sheetData>
    <row r="1" spans="1:16" ht="24.6" x14ac:dyDescent="0.45">
      <c r="A1" s="674" t="str">
        <f>封面!$A$4</f>
        <v>彰化縣地方教育發展基金－彰化縣秀水鄉馬興國民小學</v>
      </c>
      <c r="B1" s="674"/>
      <c r="C1" s="674"/>
      <c r="D1" s="674"/>
      <c r="E1" s="674"/>
      <c r="F1" s="674"/>
      <c r="G1" s="674"/>
      <c r="H1" s="674"/>
      <c r="I1" s="674"/>
      <c r="J1" s="674"/>
      <c r="K1" s="674"/>
      <c r="L1" s="674"/>
      <c r="M1" s="674"/>
      <c r="N1" s="674"/>
      <c r="O1" s="674"/>
    </row>
    <row r="2" spans="1:16" ht="19.8" x14ac:dyDescent="0.4">
      <c r="A2" s="675" t="s">
        <v>121</v>
      </c>
      <c r="B2" s="675"/>
      <c r="C2" s="675"/>
      <c r="D2" s="675"/>
      <c r="E2" s="675"/>
      <c r="F2" s="675"/>
      <c r="G2" s="675"/>
      <c r="H2" s="675"/>
      <c r="I2" s="675"/>
      <c r="J2" s="675"/>
      <c r="K2" s="675"/>
      <c r="L2" s="675"/>
      <c r="M2" s="675"/>
      <c r="N2" s="675"/>
      <c r="O2" s="675"/>
    </row>
    <row r="3" spans="1:16" ht="15" x14ac:dyDescent="0.3">
      <c r="A3" s="676" t="str">
        <f>封面!$E$10&amp;封面!$H$10&amp;封面!$I$10&amp;封面!$J$10&amp;封面!$K$10&amp;封面!L10</f>
        <v>中華民國110年12月份</v>
      </c>
      <c r="B3" s="676"/>
      <c r="C3" s="676"/>
      <c r="D3" s="676"/>
      <c r="E3" s="676"/>
      <c r="F3" s="676"/>
      <c r="G3" s="676"/>
      <c r="H3" s="676"/>
      <c r="I3" s="676"/>
      <c r="J3" s="676"/>
      <c r="K3" s="676"/>
      <c r="L3" s="676"/>
      <c r="M3" s="676"/>
      <c r="N3" s="676"/>
      <c r="O3" s="676"/>
    </row>
    <row r="4" spans="1:16" s="486" customFormat="1" ht="16.2" x14ac:dyDescent="0.3">
      <c r="A4" s="486" t="s">
        <v>226</v>
      </c>
      <c r="B4" s="677" t="s">
        <v>227</v>
      </c>
      <c r="C4" s="677"/>
      <c r="D4" s="677"/>
      <c r="E4" s="677"/>
      <c r="F4" s="677"/>
      <c r="G4" s="677"/>
      <c r="H4" s="677"/>
      <c r="I4" s="677"/>
      <c r="J4" s="677"/>
      <c r="K4" s="677"/>
      <c r="L4" s="677"/>
      <c r="M4" s="677"/>
      <c r="N4" s="677"/>
      <c r="O4" s="677"/>
      <c r="P4" s="677"/>
    </row>
    <row r="5" spans="1:16" s="486" customFormat="1" ht="16.2" x14ac:dyDescent="0.3">
      <c r="B5" s="486" t="s">
        <v>454</v>
      </c>
      <c r="C5" s="486" t="s">
        <v>455</v>
      </c>
      <c r="E5" s="60" t="s">
        <v>199</v>
      </c>
    </row>
    <row r="6" spans="1:16" s="486" customFormat="1" ht="16.2" x14ac:dyDescent="0.3">
      <c r="D6" s="105" t="s">
        <v>456</v>
      </c>
      <c r="E6" s="60" t="s">
        <v>200</v>
      </c>
      <c r="H6" s="217" t="s">
        <v>457</v>
      </c>
      <c r="I6" s="346"/>
      <c r="J6" s="346"/>
      <c r="K6" s="346"/>
      <c r="L6" s="346"/>
      <c r="M6" s="346"/>
      <c r="N6" s="346"/>
      <c r="O6" s="346"/>
      <c r="P6" s="346"/>
    </row>
    <row r="7" spans="1:16" s="486" customFormat="1" ht="16.2" x14ac:dyDescent="0.3">
      <c r="B7" s="486" t="s">
        <v>458</v>
      </c>
      <c r="C7" s="486" t="s">
        <v>459</v>
      </c>
      <c r="E7" s="60" t="s">
        <v>199</v>
      </c>
      <c r="H7" s="346"/>
      <c r="I7" s="346"/>
      <c r="J7" s="346"/>
      <c r="K7" s="346"/>
      <c r="L7" s="346"/>
      <c r="M7" s="346"/>
      <c r="N7" s="346"/>
      <c r="O7" s="346"/>
      <c r="P7" s="346"/>
    </row>
    <row r="8" spans="1:16" s="486" customFormat="1" ht="16.2" x14ac:dyDescent="0.3">
      <c r="D8" s="105" t="s">
        <v>460</v>
      </c>
      <c r="E8" s="60" t="s">
        <v>200</v>
      </c>
      <c r="H8" s="217" t="s">
        <v>461</v>
      </c>
      <c r="I8" s="346"/>
      <c r="J8" s="346"/>
      <c r="K8" s="346"/>
      <c r="L8" s="346"/>
      <c r="M8" s="346"/>
      <c r="N8" s="346"/>
      <c r="O8" s="346"/>
      <c r="P8" s="346"/>
    </row>
    <row r="9" spans="1:16" s="486" customFormat="1" ht="31.2" customHeight="1" x14ac:dyDescent="0.3">
      <c r="D9" s="547"/>
      <c r="E9" s="60"/>
      <c r="H9" s="679" t="s">
        <v>462</v>
      </c>
      <c r="I9" s="680"/>
      <c r="J9" s="680"/>
      <c r="K9" s="680"/>
      <c r="L9" s="680"/>
      <c r="M9" s="680"/>
      <c r="N9" s="680"/>
      <c r="O9" s="680"/>
      <c r="P9" s="680"/>
    </row>
    <row r="10" spans="1:16" s="486" customFormat="1" ht="16.2" x14ac:dyDescent="0.3">
      <c r="B10" s="486" t="s">
        <v>301</v>
      </c>
      <c r="C10" s="486" t="s">
        <v>229</v>
      </c>
      <c r="D10" s="548"/>
      <c r="E10" s="60" t="s">
        <v>199</v>
      </c>
      <c r="H10" s="346"/>
      <c r="I10" s="346"/>
      <c r="J10" s="346"/>
      <c r="K10" s="346"/>
      <c r="L10" s="346"/>
      <c r="M10" s="346"/>
      <c r="N10" s="346"/>
      <c r="O10" s="346"/>
      <c r="P10" s="346"/>
    </row>
    <row r="11" spans="1:16" s="486" customFormat="1" ht="16.2" x14ac:dyDescent="0.3">
      <c r="D11" s="105" t="s">
        <v>228</v>
      </c>
      <c r="E11" s="60" t="s">
        <v>200</v>
      </c>
      <c r="H11" s="217" t="s">
        <v>464</v>
      </c>
      <c r="I11" s="346"/>
      <c r="J11" s="346"/>
      <c r="K11" s="346"/>
      <c r="L11" s="346"/>
      <c r="M11" s="346"/>
      <c r="N11" s="346"/>
      <c r="O11" s="346"/>
      <c r="P11" s="346"/>
    </row>
    <row r="12" spans="1:16" s="486" customFormat="1" ht="16.2" x14ac:dyDescent="0.3">
      <c r="B12" s="486" t="s">
        <v>302</v>
      </c>
      <c r="C12" s="486" t="s">
        <v>230</v>
      </c>
      <c r="D12" s="105" t="s">
        <v>228</v>
      </c>
      <c r="E12" s="60" t="s">
        <v>199</v>
      </c>
      <c r="H12" s="346"/>
      <c r="I12" s="346"/>
      <c r="J12" s="346"/>
      <c r="K12" s="346"/>
      <c r="L12" s="346"/>
      <c r="M12" s="346"/>
      <c r="N12" s="346"/>
      <c r="O12" s="346"/>
      <c r="P12" s="346"/>
    </row>
    <row r="13" spans="1:16" s="486" customFormat="1" ht="16.2" x14ac:dyDescent="0.3">
      <c r="E13" s="60" t="s">
        <v>200</v>
      </c>
      <c r="H13" s="346"/>
      <c r="I13" s="346"/>
      <c r="J13" s="346"/>
      <c r="K13" s="346"/>
      <c r="L13" s="346"/>
      <c r="M13" s="346"/>
      <c r="N13" s="346"/>
      <c r="O13" s="346"/>
      <c r="P13" s="346"/>
    </row>
    <row r="14" spans="1:16" s="486" customFormat="1" ht="16.2" x14ac:dyDescent="0.3">
      <c r="B14" s="486" t="s">
        <v>303</v>
      </c>
      <c r="C14" s="487" t="s">
        <v>231</v>
      </c>
      <c r="E14" s="505" t="s">
        <v>199</v>
      </c>
      <c r="H14" s="346"/>
      <c r="I14" s="346"/>
      <c r="J14" s="346"/>
      <c r="K14" s="346"/>
      <c r="L14" s="346"/>
      <c r="M14" s="346"/>
      <c r="N14" s="346"/>
      <c r="O14" s="346"/>
      <c r="P14" s="346"/>
    </row>
    <row r="15" spans="1:16" s="486" customFormat="1" ht="16.5" customHeight="1" x14ac:dyDescent="0.3">
      <c r="C15" s="487"/>
      <c r="D15" s="390" t="s">
        <v>228</v>
      </c>
      <c r="E15" s="506" t="s">
        <v>200</v>
      </c>
      <c r="H15" s="678" t="s">
        <v>305</v>
      </c>
      <c r="I15" s="678"/>
      <c r="J15" s="678"/>
      <c r="K15" s="678"/>
      <c r="L15" s="678"/>
      <c r="M15" s="678"/>
      <c r="N15" s="678"/>
      <c r="O15" s="678"/>
      <c r="P15" s="678"/>
    </row>
    <row r="16" spans="1:16" s="486" customFormat="1" ht="16.5" customHeight="1" x14ac:dyDescent="0.3">
      <c r="C16" s="487"/>
      <c r="D16" s="392"/>
      <c r="E16" s="391"/>
      <c r="H16" s="678"/>
      <c r="I16" s="678"/>
      <c r="J16" s="678"/>
      <c r="K16" s="678"/>
      <c r="L16" s="678"/>
      <c r="M16" s="678"/>
      <c r="N16" s="678"/>
      <c r="O16" s="678"/>
      <c r="P16" s="678"/>
    </row>
    <row r="17" spans="1:16" s="486" customFormat="1" ht="15.75" customHeight="1" x14ac:dyDescent="0.3">
      <c r="C17" s="487"/>
      <c r="D17" s="487"/>
      <c r="E17" s="377"/>
    </row>
    <row r="18" spans="1:16" s="486" customFormat="1" ht="16.2" x14ac:dyDescent="0.3">
      <c r="A18" s="486" t="s">
        <v>232</v>
      </c>
      <c r="B18" s="677" t="s">
        <v>233</v>
      </c>
      <c r="C18" s="677"/>
      <c r="D18" s="677"/>
      <c r="E18" s="677"/>
      <c r="F18" s="677"/>
      <c r="G18" s="677"/>
      <c r="H18" s="677"/>
      <c r="I18" s="677"/>
      <c r="J18" s="677"/>
      <c r="K18" s="677"/>
      <c r="L18" s="677"/>
      <c r="M18" s="677"/>
      <c r="N18" s="677"/>
    </row>
    <row r="19" spans="1:16" s="486" customFormat="1" ht="16.2" x14ac:dyDescent="0.3">
      <c r="B19" s="486" t="s">
        <v>234</v>
      </c>
      <c r="C19" s="487" t="s">
        <v>235</v>
      </c>
      <c r="D19" s="487"/>
      <c r="E19" s="393"/>
    </row>
    <row r="20" spans="1:16" s="486" customFormat="1" ht="16.2" x14ac:dyDescent="0.3">
      <c r="C20" s="487" t="s">
        <v>236</v>
      </c>
      <c r="D20" s="390" t="s">
        <v>228</v>
      </c>
      <c r="E20" s="393" t="s">
        <v>237</v>
      </c>
    </row>
    <row r="21" spans="1:16" s="486" customFormat="1" ht="16.2" x14ac:dyDescent="0.3">
      <c r="C21" s="487"/>
      <c r="D21" s="487"/>
      <c r="E21" s="393" t="s">
        <v>238</v>
      </c>
      <c r="H21" s="217"/>
    </row>
    <row r="22" spans="1:16" s="486" customFormat="1" ht="16.2" x14ac:dyDescent="0.3">
      <c r="B22" s="486" t="s">
        <v>239</v>
      </c>
      <c r="C22" s="487" t="s">
        <v>240</v>
      </c>
      <c r="D22" s="487"/>
      <c r="E22" s="393"/>
    </row>
    <row r="23" spans="1:16" s="486" customFormat="1" ht="16.2" x14ac:dyDescent="0.3">
      <c r="C23" s="487" t="s">
        <v>304</v>
      </c>
      <c r="D23" s="390" t="s">
        <v>228</v>
      </c>
      <c r="E23" s="393" t="s">
        <v>199</v>
      </c>
    </row>
    <row r="24" spans="1:16" s="486" customFormat="1" ht="16.2" x14ac:dyDescent="0.3">
      <c r="E24" s="60" t="s">
        <v>200</v>
      </c>
      <c r="H24" s="673"/>
      <c r="I24" s="673"/>
      <c r="J24" s="673"/>
      <c r="K24" s="673"/>
      <c r="L24" s="673"/>
      <c r="M24" s="673"/>
      <c r="N24" s="673"/>
      <c r="O24" s="673"/>
      <c r="P24" s="673"/>
    </row>
    <row r="25" spans="1:16" s="486" customFormat="1" ht="16.2" x14ac:dyDescent="0.3">
      <c r="E25" s="61"/>
      <c r="H25" s="673"/>
      <c r="I25" s="673"/>
      <c r="J25" s="673"/>
      <c r="K25" s="673"/>
      <c r="L25" s="673"/>
      <c r="M25" s="673"/>
      <c r="N25" s="673"/>
      <c r="O25" s="673"/>
      <c r="P25" s="673"/>
    </row>
    <row r="26" spans="1:16" s="486" customFormat="1" ht="16.2" x14ac:dyDescent="0.3">
      <c r="E26" s="61"/>
    </row>
    <row r="27" spans="1:16" s="486" customFormat="1" ht="16.2" x14ac:dyDescent="0.3">
      <c r="E27" s="61"/>
    </row>
    <row r="28" spans="1:16" s="486" customFormat="1" ht="16.2" x14ac:dyDescent="0.3">
      <c r="E28" s="61"/>
    </row>
    <row r="29" spans="1:16" s="486" customFormat="1" ht="16.2" x14ac:dyDescent="0.3">
      <c r="E29" s="61"/>
    </row>
    <row r="30" spans="1:16" s="486" customFormat="1" ht="16.2" x14ac:dyDescent="0.3">
      <c r="E30" s="61"/>
    </row>
    <row r="31" spans="1:16" s="486" customFormat="1" ht="16.2" x14ac:dyDescent="0.3">
      <c r="E31" s="61"/>
    </row>
    <row r="32" spans="1:16" s="486" customFormat="1" ht="16.2" x14ac:dyDescent="0.3">
      <c r="E32" s="61"/>
    </row>
    <row r="33" spans="5:5" s="486" customFormat="1" ht="16.2" x14ac:dyDescent="0.3">
      <c r="E33" s="61"/>
    </row>
    <row r="34" spans="5:5" s="486" customFormat="1" ht="16.2" x14ac:dyDescent="0.3">
      <c r="E34" s="61"/>
    </row>
    <row r="35" spans="5:5" s="486" customFormat="1" ht="16.2" x14ac:dyDescent="0.3">
      <c r="E35" s="61"/>
    </row>
    <row r="36" spans="5:5" s="486" customFormat="1" ht="16.2" x14ac:dyDescent="0.3">
      <c r="E36" s="61"/>
    </row>
    <row r="37" spans="5:5" s="486" customFormat="1" ht="16.2" x14ac:dyDescent="0.3">
      <c r="E37" s="61"/>
    </row>
    <row r="38" spans="5:5" s="486" customFormat="1" ht="16.2" x14ac:dyDescent="0.3">
      <c r="E38" s="61"/>
    </row>
    <row r="39" spans="5:5" s="486" customFormat="1" ht="16.2" x14ac:dyDescent="0.3">
      <c r="E39" s="61"/>
    </row>
    <row r="40" spans="5:5" s="486" customFormat="1" ht="16.2" x14ac:dyDescent="0.3">
      <c r="E40" s="61"/>
    </row>
    <row r="41" spans="5:5" s="486" customFormat="1" ht="16.2" x14ac:dyDescent="0.3">
      <c r="E41" s="61"/>
    </row>
    <row r="42" spans="5:5" s="486" customFormat="1" ht="16.2" x14ac:dyDescent="0.3">
      <c r="E42" s="61"/>
    </row>
    <row r="43" spans="5:5" s="486" customFormat="1" ht="16.2" x14ac:dyDescent="0.3">
      <c r="E43" s="61"/>
    </row>
    <row r="44" spans="5:5" s="486" customFormat="1" ht="16.2" x14ac:dyDescent="0.3">
      <c r="E44" s="61"/>
    </row>
    <row r="45" spans="5:5" s="486" customFormat="1" ht="16.2" x14ac:dyDescent="0.3">
      <c r="E45" s="61"/>
    </row>
    <row r="46" spans="5:5" s="486" customFormat="1" ht="16.2" x14ac:dyDescent="0.3">
      <c r="E46" s="61"/>
    </row>
    <row r="47" spans="5:5" s="486" customFormat="1" ht="16.2" x14ac:dyDescent="0.3">
      <c r="E47" s="61"/>
    </row>
    <row r="48" spans="5:5" s="486" customFormat="1" ht="16.2" x14ac:dyDescent="0.3">
      <c r="E48" s="61"/>
    </row>
    <row r="49" spans="5:5" s="486" customFormat="1" ht="16.2" x14ac:dyDescent="0.3">
      <c r="E49" s="61"/>
    </row>
    <row r="50" spans="5:5" s="486" customFormat="1" ht="16.2" x14ac:dyDescent="0.3">
      <c r="E50" s="61"/>
    </row>
    <row r="51" spans="5:5" s="486" customFormat="1" ht="16.2" x14ac:dyDescent="0.3">
      <c r="E51" s="61"/>
    </row>
    <row r="52" spans="5:5" s="486" customFormat="1" ht="16.2" x14ac:dyDescent="0.3">
      <c r="E52" s="61"/>
    </row>
    <row r="53" spans="5:5" s="486" customFormat="1" ht="16.2" x14ac:dyDescent="0.3">
      <c r="E53" s="61"/>
    </row>
    <row r="54" spans="5:5" s="486" customFormat="1" ht="16.2" x14ac:dyDescent="0.3">
      <c r="E54" s="61"/>
    </row>
    <row r="55" spans="5:5" s="486" customFormat="1" ht="16.2" x14ac:dyDescent="0.3">
      <c r="E55" s="61"/>
    </row>
    <row r="56" spans="5:5" s="486" customFormat="1" ht="16.2" x14ac:dyDescent="0.3">
      <c r="E56" s="61"/>
    </row>
    <row r="57" spans="5:5" s="486" customFormat="1" ht="16.2" x14ac:dyDescent="0.3">
      <c r="E57" s="61"/>
    </row>
    <row r="58" spans="5:5" s="486" customFormat="1" ht="16.2" x14ac:dyDescent="0.3">
      <c r="E58" s="61"/>
    </row>
    <row r="59" spans="5:5" s="486" customFormat="1" ht="16.2" x14ac:dyDescent="0.3">
      <c r="E59" s="61"/>
    </row>
    <row r="60" spans="5:5" s="486" customFormat="1" ht="16.2" x14ac:dyDescent="0.3">
      <c r="E60" s="61"/>
    </row>
    <row r="61" spans="5:5" s="486" customFormat="1" ht="16.2" x14ac:dyDescent="0.3">
      <c r="E61" s="61"/>
    </row>
    <row r="62" spans="5:5" s="486" customFormat="1" ht="16.2" x14ac:dyDescent="0.3">
      <c r="E62" s="61"/>
    </row>
    <row r="63" spans="5:5" s="486" customFormat="1" ht="16.2" x14ac:dyDescent="0.3">
      <c r="E63" s="61"/>
    </row>
  </sheetData>
  <mergeCells count="8">
    <mergeCell ref="H24:P25"/>
    <mergeCell ref="A1:O1"/>
    <mergeCell ref="A2:O2"/>
    <mergeCell ref="A3:O3"/>
    <mergeCell ref="B4:P4"/>
    <mergeCell ref="H15:P16"/>
    <mergeCell ref="B18:N18"/>
    <mergeCell ref="H9:P9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42"/>
  <sheetViews>
    <sheetView showGridLines="0" showZeros="0" tabSelected="1" showOutlineSymbols="0" view="pageBreakPreview" zoomScaleSheetLayoutView="100" workbookViewId="0">
      <pane xSplit="2" ySplit="13" topLeftCell="C14" activePane="bottomRight" state="frozen"/>
      <selection activeCell="T25" sqref="T25"/>
      <selection pane="topRight" activeCell="T25" sqref="T25"/>
      <selection pane="bottomLeft" activeCell="T25" sqref="T25"/>
      <selection pane="bottomRight" activeCell="T25" sqref="T25"/>
    </sheetView>
  </sheetViews>
  <sheetFormatPr defaultColWidth="6.88671875" defaultRowHeight="12.75" customHeight="1" x14ac:dyDescent="0.25"/>
  <cols>
    <col min="1" max="1" width="4.44140625" style="3" customWidth="1"/>
    <col min="2" max="2" width="5" style="3" customWidth="1"/>
    <col min="3" max="5" width="10.5546875" style="3" customWidth="1"/>
    <col min="6" max="8" width="8.88671875" style="3" customWidth="1"/>
    <col min="9" max="9" width="16.5546875" style="3" customWidth="1"/>
    <col min="10" max="13" width="7.88671875" style="3" customWidth="1"/>
    <col min="14" max="14" width="16.88671875" style="3" customWidth="1"/>
    <col min="15" max="15" width="11.6640625" style="3" customWidth="1"/>
    <col min="16" max="16384" width="6.88671875" style="3"/>
  </cols>
  <sheetData>
    <row r="1" spans="1:18" ht="19.8" x14ac:dyDescent="0.25">
      <c r="A1" s="648" t="str">
        <f>封面!$A$4</f>
        <v>彰化縣地方教育發展基金－彰化縣秀水鄉馬興國民小學</v>
      </c>
      <c r="B1" s="648"/>
      <c r="C1" s="648"/>
      <c r="D1" s="648"/>
      <c r="E1" s="648"/>
      <c r="F1" s="648"/>
      <c r="G1" s="648"/>
      <c r="H1" s="648"/>
      <c r="I1" s="570"/>
      <c r="J1" s="570"/>
      <c r="K1" s="570"/>
      <c r="L1" s="570"/>
      <c r="M1" s="570"/>
      <c r="N1" s="570"/>
    </row>
    <row r="2" spans="1:18" ht="19.5" hidden="1" customHeight="1" x14ac:dyDescent="0.25">
      <c r="A2" s="339"/>
      <c r="B2" s="339"/>
      <c r="C2" s="339"/>
      <c r="D2" s="339"/>
      <c r="E2" s="339"/>
      <c r="F2" s="339"/>
      <c r="G2" s="339"/>
      <c r="H2" s="339"/>
    </row>
    <row r="3" spans="1:18" ht="14.25" hidden="1" customHeight="1" x14ac:dyDescent="0.25"/>
    <row r="4" spans="1:18" ht="22.2" x14ac:dyDescent="0.25">
      <c r="A4" s="665" t="s">
        <v>321</v>
      </c>
      <c r="B4" s="665"/>
      <c r="C4" s="665"/>
      <c r="D4" s="665"/>
      <c r="E4" s="665"/>
      <c r="F4" s="665"/>
      <c r="G4" s="665"/>
      <c r="H4" s="665"/>
      <c r="I4" s="570"/>
      <c r="J4" s="570"/>
      <c r="K4" s="570"/>
      <c r="L4" s="570"/>
      <c r="M4" s="570"/>
      <c r="N4" s="570"/>
    </row>
    <row r="5" spans="1:18" ht="6.75" customHeight="1" x14ac:dyDescent="0.25"/>
    <row r="6" spans="1:18" ht="16.2" x14ac:dyDescent="0.25">
      <c r="A6" s="649" t="str">
        <f>封面!$E$10&amp;封面!$H$10&amp;封面!$I$10&amp;封面!$J$10&amp;封面!$K$10&amp;封面!$O$10&amp;"日"</f>
        <v>中華民國110年12月31日</v>
      </c>
      <c r="B6" s="649"/>
      <c r="C6" s="649"/>
      <c r="D6" s="649"/>
      <c r="E6" s="649"/>
      <c r="F6" s="649"/>
      <c r="G6" s="649"/>
      <c r="H6" s="649"/>
      <c r="I6" s="570"/>
      <c r="J6" s="570"/>
      <c r="K6" s="570"/>
      <c r="L6" s="570"/>
      <c r="M6" s="570"/>
      <c r="N6" s="570"/>
    </row>
    <row r="7" spans="1:18" ht="16.2" x14ac:dyDescent="0.25">
      <c r="A7" s="609" t="s">
        <v>41</v>
      </c>
      <c r="B7" s="609"/>
      <c r="C7" s="609"/>
      <c r="D7" s="609"/>
      <c r="E7" s="609"/>
      <c r="F7" s="609"/>
      <c r="G7" s="609"/>
      <c r="H7" s="609"/>
      <c r="I7" s="570"/>
      <c r="J7" s="570"/>
      <c r="K7" s="570"/>
      <c r="L7" s="570"/>
      <c r="M7" s="570"/>
      <c r="N7" s="570"/>
    </row>
    <row r="8" spans="1:18" ht="6" customHeight="1" x14ac:dyDescent="0.25"/>
    <row r="9" spans="1:18" s="352" customFormat="1" ht="24" customHeight="1" x14ac:dyDescent="0.25">
      <c r="A9" s="694" t="s">
        <v>318</v>
      </c>
      <c r="B9" s="695"/>
      <c r="C9" s="695"/>
      <c r="D9" s="695"/>
      <c r="E9" s="695"/>
      <c r="F9" s="694" t="s">
        <v>203</v>
      </c>
      <c r="G9" s="695"/>
      <c r="H9" s="695"/>
      <c r="I9" s="695"/>
      <c r="J9" s="695"/>
      <c r="K9" s="695"/>
      <c r="L9" s="695"/>
      <c r="M9" s="695"/>
      <c r="N9" s="695"/>
      <c r="O9" s="351"/>
      <c r="P9" s="351"/>
      <c r="Q9" s="351"/>
      <c r="R9" s="351"/>
    </row>
    <row r="10" spans="1:18" s="352" customFormat="1" ht="24" customHeight="1" x14ac:dyDescent="0.25">
      <c r="A10" s="695"/>
      <c r="B10" s="695"/>
      <c r="C10" s="695"/>
      <c r="D10" s="695"/>
      <c r="E10" s="695"/>
      <c r="F10" s="691" t="s">
        <v>319</v>
      </c>
      <c r="G10" s="692"/>
      <c r="H10" s="692"/>
      <c r="I10" s="693"/>
      <c r="J10" s="698" t="s">
        <v>320</v>
      </c>
      <c r="K10" s="698"/>
      <c r="L10" s="698"/>
      <c r="M10" s="698"/>
      <c r="N10" s="698"/>
    </row>
    <row r="11" spans="1:18" s="344" customFormat="1" ht="12.75" hidden="1" customHeight="1" x14ac:dyDescent="0.25">
      <c r="A11" s="353"/>
      <c r="B11" s="354"/>
      <c r="C11" s="354"/>
      <c r="D11" s="354"/>
      <c r="E11" s="354"/>
      <c r="F11" s="7"/>
      <c r="G11" s="7"/>
      <c r="H11" s="342"/>
      <c r="I11" s="350"/>
      <c r="J11" s="355"/>
      <c r="K11" s="355"/>
      <c r="L11" s="355"/>
      <c r="M11" s="355"/>
      <c r="N11" s="356"/>
    </row>
    <row r="12" spans="1:18" s="344" customFormat="1" ht="12.75" hidden="1" customHeight="1" x14ac:dyDescent="0.25">
      <c r="A12" s="353"/>
      <c r="B12" s="354"/>
      <c r="C12" s="354"/>
      <c r="D12" s="354"/>
      <c r="E12" s="354"/>
      <c r="F12" s="7"/>
      <c r="G12" s="7"/>
      <c r="H12" s="14"/>
      <c r="I12" s="14"/>
      <c r="J12" s="355"/>
      <c r="K12" s="355"/>
      <c r="L12" s="355"/>
      <c r="M12" s="355"/>
      <c r="N12" s="356"/>
    </row>
    <row r="13" spans="1:18" s="344" customFormat="1" ht="9" hidden="1" customHeight="1" x14ac:dyDescent="0.25">
      <c r="A13" s="353"/>
      <c r="B13" s="354"/>
      <c r="C13" s="394"/>
      <c r="D13" s="394"/>
      <c r="E13" s="394"/>
      <c r="F13" s="7"/>
      <c r="G13" s="7"/>
      <c r="H13" s="11"/>
      <c r="I13" s="11"/>
      <c r="J13" s="355"/>
      <c r="K13" s="355"/>
      <c r="L13" s="355"/>
      <c r="M13" s="355"/>
      <c r="N13" s="356"/>
    </row>
    <row r="14" spans="1:18" s="526" customFormat="1" ht="16.2" customHeight="1" x14ac:dyDescent="0.25">
      <c r="A14" s="696" t="s">
        <v>411</v>
      </c>
      <c r="B14" s="697"/>
      <c r="C14" s="697"/>
      <c r="D14" s="697"/>
      <c r="E14" s="519"/>
      <c r="F14" s="520"/>
      <c r="G14" s="521"/>
      <c r="H14" s="521"/>
      <c r="I14" s="522">
        <f>SUM(I15:I25)/2</f>
        <v>995622</v>
      </c>
      <c r="J14" s="523"/>
      <c r="K14" s="524"/>
      <c r="L14" s="524"/>
      <c r="M14" s="525"/>
      <c r="N14" s="522">
        <f>I14+[3]收支!$N14</f>
        <v>43973582</v>
      </c>
    </row>
    <row r="15" spans="1:18" s="526" customFormat="1" ht="16.2" x14ac:dyDescent="0.25">
      <c r="A15" s="527"/>
      <c r="B15" s="686" t="s">
        <v>412</v>
      </c>
      <c r="C15" s="686"/>
      <c r="D15" s="686"/>
      <c r="E15" s="687"/>
      <c r="F15" s="528"/>
      <c r="G15" s="529"/>
      <c r="H15" s="529"/>
      <c r="I15" s="530">
        <f>I16</f>
        <v>5750</v>
      </c>
      <c r="J15" s="531"/>
      <c r="K15" s="532"/>
      <c r="L15" s="532"/>
      <c r="M15" s="533"/>
      <c r="N15" s="530">
        <f>I15+[3]收支!$N15</f>
        <v>8264</v>
      </c>
    </row>
    <row r="16" spans="1:18" s="483" customFormat="1" ht="16.2" x14ac:dyDescent="0.25">
      <c r="A16" s="482"/>
      <c r="B16" s="477"/>
      <c r="C16" s="478" t="s">
        <v>413</v>
      </c>
      <c r="D16" s="478"/>
      <c r="E16" s="479"/>
      <c r="F16" s="436"/>
      <c r="G16" s="437"/>
      <c r="H16" s="437"/>
      <c r="I16" s="455">
        <v>5750</v>
      </c>
      <c r="J16" s="456"/>
      <c r="K16" s="457"/>
      <c r="L16" s="457"/>
      <c r="M16" s="458"/>
      <c r="N16" s="455">
        <f>I16+[3]收支!$N16</f>
        <v>8264</v>
      </c>
    </row>
    <row r="17" spans="1:14" s="526" customFormat="1" ht="16.2" x14ac:dyDescent="0.25">
      <c r="A17" s="534"/>
      <c r="B17" s="686" t="s">
        <v>339</v>
      </c>
      <c r="C17" s="686"/>
      <c r="D17" s="686"/>
      <c r="E17" s="687"/>
      <c r="F17" s="528"/>
      <c r="G17" s="529"/>
      <c r="H17" s="529"/>
      <c r="I17" s="530">
        <f>SUM(I18:I21)</f>
        <v>755340</v>
      </c>
      <c r="J17" s="531"/>
      <c r="K17" s="532"/>
      <c r="L17" s="532"/>
      <c r="M17" s="533"/>
      <c r="N17" s="530">
        <f>I17+[3]收支!$N17</f>
        <v>8096610</v>
      </c>
    </row>
    <row r="18" spans="1:14" s="562" customFormat="1" ht="16.2" x14ac:dyDescent="0.25">
      <c r="A18" s="553"/>
      <c r="B18" s="554"/>
      <c r="C18" s="478" t="s">
        <v>795</v>
      </c>
      <c r="D18" s="554"/>
      <c r="E18" s="555"/>
      <c r="F18" s="556"/>
      <c r="G18" s="557"/>
      <c r="H18" s="557"/>
      <c r="I18" s="558">
        <v>1606</v>
      </c>
      <c r="J18" s="559"/>
      <c r="K18" s="560"/>
      <c r="L18" s="560"/>
      <c r="M18" s="561"/>
      <c r="N18" s="455">
        <f>I18</f>
        <v>1606</v>
      </c>
    </row>
    <row r="19" spans="1:14" s="483" customFormat="1" ht="16.2" x14ac:dyDescent="0.25">
      <c r="A19" s="446"/>
      <c r="B19" s="477"/>
      <c r="C19" s="478" t="s">
        <v>414</v>
      </c>
      <c r="D19" s="478"/>
      <c r="E19" s="479"/>
      <c r="F19" s="436"/>
      <c r="G19" s="437"/>
      <c r="H19" s="437"/>
      <c r="I19" s="455"/>
      <c r="J19" s="456"/>
      <c r="K19" s="457"/>
      <c r="L19" s="457"/>
      <c r="M19" s="458"/>
      <c r="N19" s="455">
        <f>I19+[3]收支!$N18</f>
        <v>31890</v>
      </c>
    </row>
    <row r="20" spans="1:14" s="483" customFormat="1" ht="16.2" customHeight="1" x14ac:dyDescent="0.25">
      <c r="A20" s="446"/>
      <c r="B20" s="477"/>
      <c r="C20" s="478" t="s">
        <v>415</v>
      </c>
      <c r="D20" s="478"/>
      <c r="E20" s="479"/>
      <c r="F20" s="436"/>
      <c r="G20" s="437"/>
      <c r="H20" s="437"/>
      <c r="I20" s="455">
        <v>5452</v>
      </c>
      <c r="J20" s="456"/>
      <c r="K20" s="457"/>
      <c r="L20" s="457"/>
      <c r="M20" s="458"/>
      <c r="N20" s="455">
        <f>I20+[3]收支!$N19</f>
        <v>1278038</v>
      </c>
    </row>
    <row r="21" spans="1:14" s="483" customFormat="1" ht="16.2" x14ac:dyDescent="0.25">
      <c r="A21" s="446"/>
      <c r="B21" s="477"/>
      <c r="C21" s="478" t="s">
        <v>416</v>
      </c>
      <c r="D21" s="478"/>
      <c r="E21" s="479"/>
      <c r="F21" s="436"/>
      <c r="G21" s="437"/>
      <c r="H21" s="437"/>
      <c r="I21" s="455">
        <v>748282</v>
      </c>
      <c r="J21" s="456"/>
      <c r="K21" s="457"/>
      <c r="L21" s="457"/>
      <c r="M21" s="458"/>
      <c r="N21" s="455">
        <f>I21+[3]收支!$N20</f>
        <v>6785076</v>
      </c>
    </row>
    <row r="22" spans="1:14" s="536" customFormat="1" ht="16.2" x14ac:dyDescent="0.25">
      <c r="A22" s="535"/>
      <c r="B22" s="686" t="s">
        <v>417</v>
      </c>
      <c r="C22" s="686"/>
      <c r="D22" s="686"/>
      <c r="E22" s="687"/>
      <c r="F22" s="528"/>
      <c r="G22" s="529"/>
      <c r="H22" s="529"/>
      <c r="I22" s="530">
        <f>I23</f>
        <v>222000</v>
      </c>
      <c r="J22" s="531"/>
      <c r="K22" s="532"/>
      <c r="L22" s="532"/>
      <c r="M22" s="533"/>
      <c r="N22" s="530">
        <f>I22+[3]收支!$N21</f>
        <v>35845693</v>
      </c>
    </row>
    <row r="23" spans="1:14" s="484" customFormat="1" ht="16.2" x14ac:dyDescent="0.25">
      <c r="A23" s="447"/>
      <c r="B23" s="450"/>
      <c r="C23" s="451" t="s">
        <v>418</v>
      </c>
      <c r="D23" s="451"/>
      <c r="E23" s="452"/>
      <c r="F23" s="447"/>
      <c r="G23" s="448"/>
      <c r="H23" s="448"/>
      <c r="I23" s="453">
        <v>222000</v>
      </c>
      <c r="J23" s="446"/>
      <c r="K23" s="450"/>
      <c r="L23" s="450"/>
      <c r="M23" s="454"/>
      <c r="N23" s="453">
        <f>I23+[3]收支!$N22</f>
        <v>35845693</v>
      </c>
    </row>
    <row r="24" spans="1:14" s="536" customFormat="1" ht="16.2" x14ac:dyDescent="0.25">
      <c r="A24" s="535"/>
      <c r="B24" s="537" t="s">
        <v>419</v>
      </c>
      <c r="C24" s="538"/>
      <c r="D24" s="538"/>
      <c r="E24" s="539"/>
      <c r="F24" s="535"/>
      <c r="G24" s="540"/>
      <c r="H24" s="540"/>
      <c r="I24" s="541">
        <f>I25</f>
        <v>12532</v>
      </c>
      <c r="J24" s="534"/>
      <c r="K24" s="537"/>
      <c r="L24" s="537"/>
      <c r="M24" s="542"/>
      <c r="N24" s="541">
        <f>I24+[3]收支!$N23</f>
        <v>23015</v>
      </c>
    </row>
    <row r="25" spans="1:14" s="484" customFormat="1" ht="16.2" x14ac:dyDescent="0.25">
      <c r="A25" s="447"/>
      <c r="B25" s="450"/>
      <c r="C25" s="451" t="s">
        <v>420</v>
      </c>
      <c r="D25" s="451"/>
      <c r="E25" s="452"/>
      <c r="F25" s="447"/>
      <c r="G25" s="448"/>
      <c r="H25" s="448"/>
      <c r="I25" s="453">
        <v>12532</v>
      </c>
      <c r="J25" s="446"/>
      <c r="K25" s="450"/>
      <c r="L25" s="450"/>
      <c r="M25" s="454"/>
      <c r="N25" s="453">
        <f>I25+[3]收支!$N24</f>
        <v>23015</v>
      </c>
    </row>
    <row r="26" spans="1:14" s="536" customFormat="1" ht="16.2" x14ac:dyDescent="0.25">
      <c r="A26" s="685" t="s">
        <v>340</v>
      </c>
      <c r="B26" s="686"/>
      <c r="C26" s="686"/>
      <c r="D26" s="686"/>
      <c r="E26" s="543"/>
      <c r="F26" s="528"/>
      <c r="G26" s="529"/>
      <c r="H26" s="529"/>
      <c r="I26" s="530">
        <f>SUM(I27:I36)/2</f>
        <v>1326275</v>
      </c>
      <c r="J26" s="531"/>
      <c r="K26" s="532"/>
      <c r="L26" s="532"/>
      <c r="M26" s="533"/>
      <c r="N26" s="530">
        <f>I26+[3]收支!$N25</f>
        <v>38503741</v>
      </c>
    </row>
    <row r="27" spans="1:14" s="536" customFormat="1" ht="16.2" x14ac:dyDescent="0.25">
      <c r="A27" s="535"/>
      <c r="B27" s="686" t="s">
        <v>421</v>
      </c>
      <c r="C27" s="686"/>
      <c r="D27" s="686"/>
      <c r="E27" s="687"/>
      <c r="F27" s="528"/>
      <c r="G27" s="529"/>
      <c r="H27" s="529"/>
      <c r="I27" s="530">
        <f>I28</f>
        <v>630938</v>
      </c>
      <c r="J27" s="531"/>
      <c r="K27" s="532"/>
      <c r="L27" s="532"/>
      <c r="M27" s="533"/>
      <c r="N27" s="530">
        <f>I27+[3]收支!$N26</f>
        <v>34690165</v>
      </c>
    </row>
    <row r="28" spans="1:14" s="484" customFormat="1" ht="16.2" customHeight="1" x14ac:dyDescent="0.25">
      <c r="A28" s="447"/>
      <c r="B28" s="477"/>
      <c r="C28" s="478" t="s">
        <v>421</v>
      </c>
      <c r="D28" s="478"/>
      <c r="E28" s="479"/>
      <c r="F28" s="436"/>
      <c r="G28" s="437"/>
      <c r="H28" s="437"/>
      <c r="I28" s="455">
        <v>630938</v>
      </c>
      <c r="J28" s="456"/>
      <c r="K28" s="457"/>
      <c r="L28" s="457"/>
      <c r="M28" s="458"/>
      <c r="N28" s="455">
        <f>I28+[3]收支!$N27</f>
        <v>34690165</v>
      </c>
    </row>
    <row r="29" spans="1:14" s="536" customFormat="1" ht="16.2" x14ac:dyDescent="0.25">
      <c r="A29" s="535"/>
      <c r="B29" s="686" t="s">
        <v>422</v>
      </c>
      <c r="C29" s="686"/>
      <c r="D29" s="686"/>
      <c r="E29" s="687"/>
      <c r="F29" s="528"/>
      <c r="G29" s="529"/>
      <c r="H29" s="529"/>
      <c r="I29" s="530">
        <f>I30</f>
        <v>277579</v>
      </c>
      <c r="J29" s="531"/>
      <c r="K29" s="532"/>
      <c r="L29" s="532"/>
      <c r="M29" s="533"/>
      <c r="N29" s="530">
        <f>I29+[3]收支!$N28</f>
        <v>1352183</v>
      </c>
    </row>
    <row r="30" spans="1:14" s="484" customFormat="1" ht="16.2" customHeight="1" x14ac:dyDescent="0.25">
      <c r="A30" s="447"/>
      <c r="B30" s="477"/>
      <c r="C30" s="478" t="s">
        <v>422</v>
      </c>
      <c r="D30" s="478"/>
      <c r="E30" s="479"/>
      <c r="F30" s="436"/>
      <c r="G30" s="437"/>
      <c r="H30" s="437"/>
      <c r="I30" s="455">
        <v>277579</v>
      </c>
      <c r="J30" s="456"/>
      <c r="K30" s="457"/>
      <c r="L30" s="457"/>
      <c r="M30" s="458"/>
      <c r="N30" s="455">
        <f>I30+[3]收支!$N29</f>
        <v>1352183</v>
      </c>
    </row>
    <row r="31" spans="1:14" s="536" customFormat="1" ht="16.2" customHeight="1" x14ac:dyDescent="0.25">
      <c r="A31" s="535"/>
      <c r="B31" s="544" t="s">
        <v>423</v>
      </c>
      <c r="C31" s="545"/>
      <c r="D31" s="545"/>
      <c r="E31" s="546"/>
      <c r="F31" s="528"/>
      <c r="G31" s="529"/>
      <c r="H31" s="529"/>
      <c r="I31" s="530">
        <f>I32</f>
        <v>0</v>
      </c>
      <c r="J31" s="531"/>
      <c r="K31" s="532"/>
      <c r="L31" s="532"/>
      <c r="M31" s="533"/>
      <c r="N31" s="530">
        <f>I31+[3]收支!$N30</f>
        <v>37303</v>
      </c>
    </row>
    <row r="32" spans="1:14" s="484" customFormat="1" ht="16.2" customHeight="1" x14ac:dyDescent="0.25">
      <c r="A32" s="447"/>
      <c r="B32" s="477"/>
      <c r="C32" s="478" t="s">
        <v>424</v>
      </c>
      <c r="D32" s="478"/>
      <c r="E32" s="479"/>
      <c r="F32" s="436"/>
      <c r="G32" s="437"/>
      <c r="H32" s="437"/>
      <c r="I32" s="455"/>
      <c r="J32" s="456"/>
      <c r="K32" s="457"/>
      <c r="L32" s="457"/>
      <c r="M32" s="458"/>
      <c r="N32" s="455">
        <f>I32+[3]收支!$N31</f>
        <v>37303</v>
      </c>
    </row>
    <row r="33" spans="1:14" s="536" customFormat="1" ht="16.2" customHeight="1" x14ac:dyDescent="0.25">
      <c r="A33" s="535"/>
      <c r="B33" s="686" t="s">
        <v>425</v>
      </c>
      <c r="C33" s="686"/>
      <c r="D33" s="686"/>
      <c r="E33" s="687"/>
      <c r="F33" s="528"/>
      <c r="G33" s="529"/>
      <c r="H33" s="529"/>
      <c r="I33" s="530">
        <f>I34</f>
        <v>180579</v>
      </c>
      <c r="J33" s="531"/>
      <c r="K33" s="532"/>
      <c r="L33" s="532"/>
      <c r="M33" s="533"/>
      <c r="N33" s="530">
        <f>I33+[3]收支!$N32</f>
        <v>2178671</v>
      </c>
    </row>
    <row r="34" spans="1:14" s="484" customFormat="1" ht="16.2" x14ac:dyDescent="0.25">
      <c r="A34" s="447"/>
      <c r="B34" s="450"/>
      <c r="C34" s="451" t="s">
        <v>426</v>
      </c>
      <c r="D34" s="451"/>
      <c r="E34" s="452"/>
      <c r="F34" s="447"/>
      <c r="G34" s="448"/>
      <c r="H34" s="448"/>
      <c r="I34" s="455">
        <v>180579</v>
      </c>
      <c r="J34" s="446"/>
      <c r="K34" s="450"/>
      <c r="L34" s="450"/>
      <c r="M34" s="454"/>
      <c r="N34" s="455">
        <f>I34+[3]收支!$N33</f>
        <v>2178671</v>
      </c>
    </row>
    <row r="35" spans="1:14" s="536" customFormat="1" ht="16.2" x14ac:dyDescent="0.25">
      <c r="A35" s="535"/>
      <c r="B35" s="537" t="s">
        <v>427</v>
      </c>
      <c r="C35" s="538"/>
      <c r="D35" s="538"/>
      <c r="E35" s="539"/>
      <c r="F35" s="535"/>
      <c r="G35" s="540"/>
      <c r="H35" s="540"/>
      <c r="I35" s="530">
        <f>I36</f>
        <v>237179</v>
      </c>
      <c r="J35" s="534"/>
      <c r="K35" s="537"/>
      <c r="L35" s="537"/>
      <c r="M35" s="542"/>
      <c r="N35" s="530">
        <f>I35+[3]收支!$N34</f>
        <v>245419</v>
      </c>
    </row>
    <row r="36" spans="1:14" s="484" customFormat="1" ht="16.2" x14ac:dyDescent="0.25">
      <c r="A36" s="447"/>
      <c r="B36" s="450"/>
      <c r="C36" s="451" t="s">
        <v>427</v>
      </c>
      <c r="D36" s="451"/>
      <c r="E36" s="452"/>
      <c r="F36" s="447"/>
      <c r="G36" s="448"/>
      <c r="H36" s="448"/>
      <c r="I36" s="455">
        <v>237179</v>
      </c>
      <c r="J36" s="446"/>
      <c r="K36" s="450"/>
      <c r="L36" s="450"/>
      <c r="M36" s="454"/>
      <c r="N36" s="455">
        <f>I36+[3]收支!$N35</f>
        <v>245419</v>
      </c>
    </row>
    <row r="37" spans="1:14" s="536" customFormat="1" ht="16.2" x14ac:dyDescent="0.25">
      <c r="A37" s="688" t="s">
        <v>428</v>
      </c>
      <c r="B37" s="689"/>
      <c r="C37" s="690"/>
      <c r="D37" s="690"/>
      <c r="E37" s="543"/>
      <c r="F37" s="528"/>
      <c r="G37" s="529"/>
      <c r="H37" s="529"/>
      <c r="I37" s="530">
        <f>I14-I26</f>
        <v>-330653</v>
      </c>
      <c r="J37" s="531"/>
      <c r="K37" s="532"/>
      <c r="L37" s="532"/>
      <c r="M37" s="533"/>
      <c r="N37" s="530">
        <f>I37+[3]收支!$N36</f>
        <v>5469841</v>
      </c>
    </row>
    <row r="38" spans="1:14" s="484" customFormat="1" ht="16.2" x14ac:dyDescent="0.25">
      <c r="A38" s="681" t="s">
        <v>341</v>
      </c>
      <c r="B38" s="682"/>
      <c r="C38" s="682"/>
      <c r="D38" s="682"/>
      <c r="E38" s="449"/>
      <c r="F38" s="359"/>
      <c r="G38" s="360"/>
      <c r="H38" s="361"/>
      <c r="I38" s="455"/>
      <c r="J38" s="456"/>
      <c r="K38" s="457"/>
      <c r="L38" s="457"/>
      <c r="M38" s="458"/>
      <c r="N38" s="455">
        <f>I38+[3]收支!$N37</f>
        <v>37061840</v>
      </c>
    </row>
    <row r="39" spans="1:14" s="484" customFormat="1" ht="16.2" x14ac:dyDescent="0.25">
      <c r="A39" s="681" t="s">
        <v>342</v>
      </c>
      <c r="B39" s="682"/>
      <c r="C39" s="682"/>
      <c r="D39" s="682"/>
      <c r="E39" s="449"/>
      <c r="F39" s="362"/>
      <c r="G39" s="360"/>
      <c r="H39" s="363"/>
      <c r="I39" s="455"/>
      <c r="J39" s="446"/>
      <c r="K39" s="450"/>
      <c r="L39" s="450"/>
      <c r="M39" s="454"/>
      <c r="N39" s="455">
        <f>I39+[3]收支!$N38</f>
        <v>0</v>
      </c>
    </row>
    <row r="40" spans="1:14" s="518" customFormat="1" ht="16.2" x14ac:dyDescent="0.25">
      <c r="A40" s="683" t="s">
        <v>429</v>
      </c>
      <c r="B40" s="684"/>
      <c r="C40" s="684"/>
      <c r="D40" s="684"/>
      <c r="E40" s="510"/>
      <c r="F40" s="511"/>
      <c r="G40" s="512"/>
      <c r="H40" s="513"/>
      <c r="I40" s="514">
        <f>I37+I38-I39</f>
        <v>-330653</v>
      </c>
      <c r="J40" s="515"/>
      <c r="K40" s="516"/>
      <c r="L40" s="516"/>
      <c r="M40" s="517"/>
      <c r="N40" s="514">
        <f>N37+N38-N39</f>
        <v>42531681</v>
      </c>
    </row>
    <row r="41" spans="1:14" s="483" customFormat="1" ht="12.75" hidden="1" customHeight="1" x14ac:dyDescent="0.25">
      <c r="A41" s="364"/>
      <c r="B41" s="364"/>
      <c r="C41" s="364"/>
      <c r="D41" s="364"/>
      <c r="E41" s="484"/>
      <c r="F41" s="484"/>
      <c r="G41" s="484"/>
      <c r="H41" s="484"/>
      <c r="I41" s="484">
        <f>[4]Sheet1!I27</f>
        <v>0</v>
      </c>
    </row>
    <row r="42" spans="1:14" s="484" customFormat="1" ht="16.2" x14ac:dyDescent="0.25">
      <c r="A42" s="364" t="s">
        <v>430</v>
      </c>
      <c r="B42" s="364"/>
      <c r="C42" s="364"/>
      <c r="D42" s="364"/>
    </row>
  </sheetData>
  <mergeCells count="20"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  <mergeCell ref="A39:D39"/>
    <mergeCell ref="A40:D40"/>
    <mergeCell ref="A26:D26"/>
    <mergeCell ref="B27:E27"/>
    <mergeCell ref="B33:E33"/>
    <mergeCell ref="A37:D37"/>
    <mergeCell ref="A38:D38"/>
    <mergeCell ref="B29:E29"/>
  </mergeCells>
  <phoneticPr fontId="9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33"/>
  <sheetViews>
    <sheetView showGridLines="0" showZeros="0" showOutlineSymbols="0" view="pageBreakPreview" zoomScaleSheetLayoutView="100" workbookViewId="0">
      <pane xSplit="2" ySplit="12" topLeftCell="C22" activePane="bottomRight" state="frozen"/>
      <selection activeCell="T25" sqref="T25"/>
      <selection pane="topRight" activeCell="T25" sqref="T25"/>
      <selection pane="bottomLeft" activeCell="T25" sqref="T25"/>
      <selection pane="bottomRight" activeCell="T25" sqref="T25"/>
    </sheetView>
  </sheetViews>
  <sheetFormatPr defaultColWidth="6.88671875" defaultRowHeight="12.75" customHeight="1" x14ac:dyDescent="0.25"/>
  <cols>
    <col min="1" max="1" width="4" style="3" customWidth="1"/>
    <col min="2" max="2" width="34.6640625" style="3" customWidth="1"/>
    <col min="3" max="5" width="21.6640625" style="3" customWidth="1"/>
    <col min="6" max="6" width="3.6640625" style="3" hidden="1" customWidth="1"/>
    <col min="7" max="7" width="3.44140625" style="3" customWidth="1"/>
    <col min="8" max="8" width="11.88671875" style="3" customWidth="1"/>
    <col min="9" max="9" width="17" style="3" customWidth="1"/>
    <col min="10" max="10" width="12.33203125" style="3" bestFit="1" customWidth="1"/>
    <col min="11" max="16384" width="6.88671875" style="3"/>
  </cols>
  <sheetData>
    <row r="1" spans="1:10" ht="19.8" x14ac:dyDescent="0.25">
      <c r="A1" s="648" t="str">
        <f>封面!$A$4</f>
        <v>彰化縣地方教育發展基金－彰化縣秀水鄉馬興國民小學</v>
      </c>
      <c r="B1" s="648"/>
      <c r="C1" s="648"/>
      <c r="D1" s="648"/>
      <c r="E1" s="648"/>
      <c r="F1" s="648"/>
      <c r="G1" s="570"/>
      <c r="H1" s="570"/>
      <c r="I1" s="570"/>
    </row>
    <row r="2" spans="1:10" ht="19.5" hidden="1" customHeight="1" x14ac:dyDescent="0.25">
      <c r="A2" s="339"/>
      <c r="B2" s="339"/>
      <c r="C2" s="339"/>
      <c r="D2" s="339"/>
      <c r="E2" s="339"/>
      <c r="F2" s="339"/>
    </row>
    <row r="3" spans="1:10" ht="14.25" hidden="1" customHeight="1" x14ac:dyDescent="0.25"/>
    <row r="4" spans="1:10" ht="22.2" x14ac:dyDescent="0.25">
      <c r="A4" s="665" t="s">
        <v>322</v>
      </c>
      <c r="B4" s="665"/>
      <c r="C4" s="665"/>
      <c r="D4" s="665"/>
      <c r="E4" s="665"/>
      <c r="F4" s="665"/>
      <c r="G4" s="570"/>
      <c r="H4" s="570"/>
      <c r="I4" s="570"/>
    </row>
    <row r="5" spans="1:10" ht="6.75" customHeight="1" x14ac:dyDescent="0.25"/>
    <row r="6" spans="1:10" ht="16.2" x14ac:dyDescent="0.25">
      <c r="A6" s="649" t="str">
        <f>封面!$E$10&amp;封面!$H$10&amp;封面!$I$10&amp;封面!$J$10&amp;封面!$K$10&amp;封面!L10</f>
        <v>中華民國110年12月份</v>
      </c>
      <c r="B6" s="649"/>
      <c r="C6" s="649"/>
      <c r="D6" s="649"/>
      <c r="E6" s="649"/>
      <c r="F6" s="649"/>
      <c r="G6" s="570"/>
      <c r="H6" s="570"/>
      <c r="I6" s="570"/>
    </row>
    <row r="7" spans="1:10" ht="16.2" x14ac:dyDescent="0.25">
      <c r="A7" s="609" t="s">
        <v>41</v>
      </c>
      <c r="B7" s="609"/>
      <c r="C7" s="609"/>
      <c r="D7" s="609"/>
      <c r="E7" s="609"/>
      <c r="F7" s="609"/>
      <c r="G7" s="570"/>
      <c r="H7" s="570"/>
      <c r="I7" s="570"/>
    </row>
    <row r="8" spans="1:10" ht="6" customHeight="1" x14ac:dyDescent="0.25"/>
    <row r="9" spans="1:10" s="365" customFormat="1" ht="42.75" customHeight="1" x14ac:dyDescent="0.25">
      <c r="A9" s="695" t="s">
        <v>323</v>
      </c>
      <c r="B9" s="695"/>
      <c r="C9" s="366" t="s">
        <v>324</v>
      </c>
      <c r="D9" s="367" t="s">
        <v>325</v>
      </c>
      <c r="E9" s="367" t="s">
        <v>326</v>
      </c>
      <c r="F9" s="367"/>
      <c r="G9" s="695" t="s">
        <v>327</v>
      </c>
      <c r="H9" s="710"/>
      <c r="I9" s="710"/>
    </row>
    <row r="10" spans="1:10" s="344" customFormat="1" ht="12.75" hidden="1" customHeight="1" x14ac:dyDescent="0.25">
      <c r="A10" s="368"/>
      <c r="B10" s="368"/>
      <c r="C10" s="369"/>
      <c r="D10" s="369"/>
      <c r="E10" s="341"/>
      <c r="F10" s="341"/>
      <c r="G10" s="711" t="s">
        <v>327</v>
      </c>
      <c r="H10" s="712"/>
      <c r="I10" s="712"/>
    </row>
    <row r="11" spans="1:10" s="344" customFormat="1" ht="12.75" hidden="1" customHeight="1" x14ac:dyDescent="0.25">
      <c r="A11" s="368"/>
      <c r="B11" s="368"/>
      <c r="C11" s="369"/>
      <c r="D11" s="369"/>
      <c r="E11" s="369"/>
      <c r="F11" s="369"/>
      <c r="G11" s="711" t="s">
        <v>327</v>
      </c>
      <c r="H11" s="712"/>
      <c r="I11" s="712"/>
    </row>
    <row r="12" spans="1:10" s="344" customFormat="1" ht="9" hidden="1" customHeight="1" x14ac:dyDescent="0.25">
      <c r="A12" s="368"/>
      <c r="B12" s="368"/>
      <c r="C12" s="369"/>
      <c r="D12" s="369"/>
      <c r="E12" s="369"/>
      <c r="F12" s="369"/>
      <c r="G12" s="711" t="s">
        <v>327</v>
      </c>
      <c r="H12" s="712"/>
      <c r="I12" s="712"/>
    </row>
    <row r="13" spans="1:10" s="483" customFormat="1" ht="16.2" x14ac:dyDescent="0.25">
      <c r="A13" s="713" t="s">
        <v>431</v>
      </c>
      <c r="B13" s="713"/>
      <c r="C13" s="467">
        <f>SUM(C14:C17)</f>
        <v>35921448</v>
      </c>
      <c r="D13" s="467">
        <f t="shared" ref="D13:E13" si="0">SUM(D14:D17)</f>
        <v>8052134</v>
      </c>
      <c r="E13" s="467">
        <f t="shared" si="0"/>
        <v>43973582</v>
      </c>
      <c r="F13" s="370"/>
      <c r="G13" s="709" t="s">
        <v>432</v>
      </c>
      <c r="H13" s="707"/>
      <c r="I13" s="708"/>
      <c r="J13" s="483">
        <f>D13</f>
        <v>8052134</v>
      </c>
    </row>
    <row r="14" spans="1:10" s="483" customFormat="1" ht="16.2" x14ac:dyDescent="0.25">
      <c r="A14" s="357"/>
      <c r="B14" s="481" t="s">
        <v>433</v>
      </c>
      <c r="C14" s="459">
        <v>8264</v>
      </c>
      <c r="D14" s="459"/>
      <c r="E14" s="468">
        <f>C14+D14</f>
        <v>8264</v>
      </c>
      <c r="F14" s="370"/>
      <c r="G14" s="358"/>
      <c r="H14" s="707" t="s">
        <v>433</v>
      </c>
      <c r="I14" s="708"/>
      <c r="J14" s="483">
        <f t="shared" ref="J14:J31" si="1">D14</f>
        <v>0</v>
      </c>
    </row>
    <row r="15" spans="1:10" s="483" customFormat="1" ht="16.2" x14ac:dyDescent="0.25">
      <c r="A15" s="357"/>
      <c r="B15" s="481" t="s">
        <v>434</v>
      </c>
      <c r="C15" s="459">
        <v>44476</v>
      </c>
      <c r="D15" s="459">
        <v>8052134</v>
      </c>
      <c r="E15" s="468">
        <f t="shared" ref="E15:E16" si="2">C15+D15</f>
        <v>8096610</v>
      </c>
      <c r="F15" s="370"/>
      <c r="G15" s="358"/>
      <c r="H15" s="707" t="s">
        <v>435</v>
      </c>
      <c r="I15" s="708"/>
      <c r="J15" s="483">
        <f t="shared" si="1"/>
        <v>8052134</v>
      </c>
    </row>
    <row r="16" spans="1:10" s="483" customFormat="1" ht="16.2" x14ac:dyDescent="0.25">
      <c r="A16" s="357"/>
      <c r="B16" s="481" t="s">
        <v>436</v>
      </c>
      <c r="C16" s="459">
        <v>35845693</v>
      </c>
      <c r="D16" s="459"/>
      <c r="E16" s="468">
        <f t="shared" si="2"/>
        <v>35845693</v>
      </c>
      <c r="F16" s="370"/>
      <c r="G16" s="358"/>
      <c r="H16" s="707" t="s">
        <v>21</v>
      </c>
      <c r="I16" s="708"/>
      <c r="J16" s="483">
        <f t="shared" si="1"/>
        <v>0</v>
      </c>
    </row>
    <row r="17" spans="1:10" s="484" customFormat="1" ht="16.2" x14ac:dyDescent="0.25">
      <c r="A17" s="357"/>
      <c r="B17" s="481" t="s">
        <v>437</v>
      </c>
      <c r="C17" s="459">
        <v>23015</v>
      </c>
      <c r="D17" s="459"/>
      <c r="E17" s="468">
        <f>C17+D17</f>
        <v>23015</v>
      </c>
      <c r="F17" s="370"/>
      <c r="G17" s="358"/>
      <c r="H17" s="707" t="s">
        <v>438</v>
      </c>
      <c r="I17" s="708"/>
      <c r="J17" s="483">
        <f t="shared" si="1"/>
        <v>0</v>
      </c>
    </row>
    <row r="18" spans="1:10" s="484" customFormat="1" ht="16.2" x14ac:dyDescent="0.25">
      <c r="A18" s="709" t="s">
        <v>439</v>
      </c>
      <c r="B18" s="708"/>
      <c r="C18" s="469">
        <f>SUM(C19:C27)</f>
        <v>36052768</v>
      </c>
      <c r="D18" s="469">
        <f t="shared" ref="D18:E18" si="3">SUM(D19:D27)</f>
        <v>2450973</v>
      </c>
      <c r="E18" s="469">
        <f t="shared" si="3"/>
        <v>38503741</v>
      </c>
      <c r="F18" s="371"/>
      <c r="G18" s="709" t="s">
        <v>440</v>
      </c>
      <c r="H18" s="707"/>
      <c r="I18" s="708"/>
      <c r="J18" s="483">
        <f t="shared" si="1"/>
        <v>2450973</v>
      </c>
    </row>
    <row r="19" spans="1:10" s="484" customFormat="1" ht="16.2" x14ac:dyDescent="0.25">
      <c r="A19" s="357"/>
      <c r="B19" s="481" t="s">
        <v>441</v>
      </c>
      <c r="C19" s="459">
        <v>34690165</v>
      </c>
      <c r="D19" s="459"/>
      <c r="E19" s="468">
        <f>C19+D19</f>
        <v>34690165</v>
      </c>
      <c r="F19" s="370"/>
      <c r="G19" s="358"/>
      <c r="H19" s="707" t="s">
        <v>442</v>
      </c>
      <c r="I19" s="708"/>
      <c r="J19" s="483">
        <f t="shared" si="1"/>
        <v>0</v>
      </c>
    </row>
    <row r="20" spans="1:10" s="484" customFormat="1" ht="16.2" x14ac:dyDescent="0.25">
      <c r="A20" s="357"/>
      <c r="B20" s="481" t="s">
        <v>443</v>
      </c>
      <c r="C20" s="459">
        <v>877505</v>
      </c>
      <c r="D20" s="459">
        <v>474678</v>
      </c>
      <c r="E20" s="468">
        <f>C20+D20</f>
        <v>1352183</v>
      </c>
      <c r="F20" s="370"/>
      <c r="G20" s="358"/>
      <c r="H20" s="480" t="s">
        <v>444</v>
      </c>
      <c r="I20" s="481"/>
      <c r="J20" s="483"/>
    </row>
    <row r="21" spans="1:10" s="484" customFormat="1" ht="16.2" x14ac:dyDescent="0.25">
      <c r="A21" s="357"/>
      <c r="B21" s="481" t="s">
        <v>445</v>
      </c>
      <c r="C21" s="459">
        <v>73293</v>
      </c>
      <c r="D21" s="459">
        <v>-73293</v>
      </c>
      <c r="E21" s="468">
        <f t="shared" ref="E21:E31" si="4">C21+D21</f>
        <v>0</v>
      </c>
      <c r="F21" s="370"/>
      <c r="G21" s="358"/>
      <c r="H21" s="480"/>
      <c r="I21" s="481"/>
      <c r="J21" s="483"/>
    </row>
    <row r="22" spans="1:10" s="484" customFormat="1" ht="16.2" x14ac:dyDescent="0.25">
      <c r="A22" s="357"/>
      <c r="B22" s="481" t="s">
        <v>446</v>
      </c>
      <c r="C22" s="459">
        <v>387175</v>
      </c>
      <c r="D22" s="459">
        <v>-387175</v>
      </c>
      <c r="E22" s="468">
        <f t="shared" si="4"/>
        <v>0</v>
      </c>
      <c r="F22" s="370"/>
      <c r="G22" s="358"/>
      <c r="H22" s="480"/>
      <c r="I22" s="481"/>
      <c r="J22" s="483"/>
    </row>
    <row r="23" spans="1:10" s="484" customFormat="1" ht="16.2" x14ac:dyDescent="0.25">
      <c r="A23" s="357"/>
      <c r="B23" s="481" t="s">
        <v>447</v>
      </c>
      <c r="C23" s="459">
        <v>300</v>
      </c>
      <c r="D23" s="459">
        <v>-300</v>
      </c>
      <c r="E23" s="468">
        <f t="shared" si="4"/>
        <v>0</v>
      </c>
      <c r="F23" s="370"/>
      <c r="G23" s="358"/>
      <c r="H23" s="480"/>
      <c r="I23" s="481"/>
      <c r="J23" s="483"/>
    </row>
    <row r="24" spans="1:10" s="484" customFormat="1" ht="32.4" x14ac:dyDescent="0.25">
      <c r="A24" s="357"/>
      <c r="B24" s="481" t="s">
        <v>448</v>
      </c>
      <c r="C24" s="459">
        <v>13910</v>
      </c>
      <c r="D24" s="459">
        <v>-13910</v>
      </c>
      <c r="E24" s="468">
        <f t="shared" si="4"/>
        <v>0</v>
      </c>
      <c r="F24" s="370"/>
      <c r="G24" s="358"/>
      <c r="H24" s="480"/>
      <c r="I24" s="481"/>
      <c r="J24" s="483"/>
    </row>
    <row r="25" spans="1:10" s="484" customFormat="1" ht="16.2" x14ac:dyDescent="0.25">
      <c r="A25" s="357"/>
      <c r="B25" s="481"/>
      <c r="C25" s="459"/>
      <c r="D25" s="459">
        <v>37303</v>
      </c>
      <c r="E25" s="468">
        <f t="shared" si="4"/>
        <v>37303</v>
      </c>
      <c r="F25" s="370"/>
      <c r="G25" s="358"/>
      <c r="H25" s="480" t="s">
        <v>449</v>
      </c>
      <c r="I25" s="481"/>
      <c r="J25" s="483"/>
    </row>
    <row r="26" spans="1:10" s="484" customFormat="1" ht="16.2" x14ac:dyDescent="0.25">
      <c r="A26" s="357"/>
      <c r="B26" s="373"/>
      <c r="C26" s="459"/>
      <c r="D26" s="459">
        <v>2178671</v>
      </c>
      <c r="E26" s="468">
        <f t="shared" si="4"/>
        <v>2178671</v>
      </c>
      <c r="F26" s="370"/>
      <c r="G26" s="358"/>
      <c r="H26" s="707" t="s">
        <v>450</v>
      </c>
      <c r="I26" s="708"/>
      <c r="J26" s="483">
        <f t="shared" si="1"/>
        <v>2178671</v>
      </c>
    </row>
    <row r="27" spans="1:10" s="484" customFormat="1" ht="16.2" x14ac:dyDescent="0.25">
      <c r="A27" s="357"/>
      <c r="B27" s="373" t="s">
        <v>451</v>
      </c>
      <c r="C27" s="459">
        <v>10420</v>
      </c>
      <c r="D27" s="459">
        <v>234999</v>
      </c>
      <c r="E27" s="468">
        <f t="shared" si="4"/>
        <v>245419</v>
      </c>
      <c r="F27" s="370"/>
      <c r="G27" s="358"/>
      <c r="H27" s="480" t="s">
        <v>452</v>
      </c>
      <c r="I27" s="481"/>
      <c r="J27" s="483"/>
    </row>
    <row r="28" spans="1:10" s="484" customFormat="1" ht="16.2" x14ac:dyDescent="0.25">
      <c r="A28" s="699" t="s">
        <v>343</v>
      </c>
      <c r="B28" s="699"/>
      <c r="C28" s="467">
        <f>C13-C18</f>
        <v>-131320</v>
      </c>
      <c r="D28" s="467">
        <f t="shared" ref="D28:E28" si="5">D13-D18</f>
        <v>5601161</v>
      </c>
      <c r="E28" s="467">
        <f t="shared" si="5"/>
        <v>5469841</v>
      </c>
      <c r="F28" s="370"/>
      <c r="G28" s="700" t="s">
        <v>343</v>
      </c>
      <c r="H28" s="701"/>
      <c r="I28" s="702"/>
      <c r="J28" s="483">
        <f t="shared" si="1"/>
        <v>5601161</v>
      </c>
    </row>
    <row r="29" spans="1:10" s="484" customFormat="1" ht="16.2" x14ac:dyDescent="0.25">
      <c r="A29" s="699" t="s">
        <v>26</v>
      </c>
      <c r="B29" s="699"/>
      <c r="C29" s="460">
        <v>2475762</v>
      </c>
      <c r="D29" s="460">
        <v>34586078</v>
      </c>
      <c r="E29" s="469">
        <f t="shared" si="4"/>
        <v>37061840</v>
      </c>
      <c r="F29" s="371"/>
      <c r="G29" s="700" t="s">
        <v>341</v>
      </c>
      <c r="H29" s="701"/>
      <c r="I29" s="702"/>
      <c r="J29" s="483">
        <f t="shared" si="1"/>
        <v>34586078</v>
      </c>
    </row>
    <row r="30" spans="1:10" s="484" customFormat="1" ht="16.2" x14ac:dyDescent="0.25">
      <c r="A30" s="699" t="s">
        <v>342</v>
      </c>
      <c r="B30" s="699"/>
      <c r="C30" s="466"/>
      <c r="D30" s="466"/>
      <c r="E30" s="467">
        <f t="shared" si="4"/>
        <v>0</v>
      </c>
      <c r="F30" s="370"/>
      <c r="G30" s="700" t="s">
        <v>342</v>
      </c>
      <c r="H30" s="701"/>
      <c r="I30" s="702"/>
      <c r="J30" s="483">
        <f t="shared" si="1"/>
        <v>0</v>
      </c>
    </row>
    <row r="31" spans="1:10" s="484" customFormat="1" ht="16.2" x14ac:dyDescent="0.25">
      <c r="A31" s="703" t="s">
        <v>28</v>
      </c>
      <c r="B31" s="703"/>
      <c r="C31" s="470">
        <f>C28+C29-C30</f>
        <v>2344442</v>
      </c>
      <c r="D31" s="470">
        <f t="shared" ref="D31" si="6">D28+D29-D30</f>
        <v>40187239</v>
      </c>
      <c r="E31" s="470">
        <f t="shared" si="4"/>
        <v>42531681</v>
      </c>
      <c r="F31" s="372"/>
      <c r="G31" s="704" t="s">
        <v>344</v>
      </c>
      <c r="H31" s="705"/>
      <c r="I31" s="706"/>
      <c r="J31" s="483">
        <f t="shared" si="1"/>
        <v>40187239</v>
      </c>
    </row>
    <row r="32" spans="1:10" s="483" customFormat="1" ht="12.75" hidden="1" customHeight="1" x14ac:dyDescent="0.25">
      <c r="A32" s="484"/>
      <c r="B32" s="484"/>
      <c r="C32" s="484"/>
      <c r="D32" s="484"/>
      <c r="E32" s="484"/>
      <c r="F32" s="484"/>
      <c r="G32" s="484"/>
      <c r="H32" s="484"/>
    </row>
    <row r="33" spans="1:1" s="484" customFormat="1" ht="19.5" customHeight="1" x14ac:dyDescent="0.25">
      <c r="A33" s="364" t="s">
        <v>453</v>
      </c>
    </row>
  </sheetData>
  <mergeCells count="27"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  <mergeCell ref="H17:I17"/>
    <mergeCell ref="H16:I16"/>
    <mergeCell ref="G18:I18"/>
    <mergeCell ref="H19:I19"/>
    <mergeCell ref="H26:I26"/>
    <mergeCell ref="A29:B29"/>
    <mergeCell ref="G29:I29"/>
    <mergeCell ref="A30:B30"/>
    <mergeCell ref="G30:I30"/>
    <mergeCell ref="A31:B31"/>
    <mergeCell ref="G31:I3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27"/>
  <sheetViews>
    <sheetView view="pageBreakPreview" zoomScaleNormal="90" workbookViewId="0">
      <selection activeCell="T25" sqref="T25"/>
    </sheetView>
  </sheetViews>
  <sheetFormatPr defaultColWidth="9.109375" defaultRowHeight="15" x14ac:dyDescent="0.25"/>
  <cols>
    <col min="1" max="1" width="74.21875" style="23" customWidth="1"/>
    <col min="2" max="2" width="23.77734375" style="28" customWidth="1"/>
    <col min="3" max="3" width="24" style="23" customWidth="1"/>
    <col min="4" max="4" width="16.109375" style="23" bestFit="1" customWidth="1"/>
    <col min="5" max="5" width="14.6640625" style="23" customWidth="1"/>
    <col min="6" max="16384" width="9.109375" style="23"/>
  </cols>
  <sheetData>
    <row r="1" spans="1:5" ht="24.6" x14ac:dyDescent="0.25">
      <c r="A1" s="715" t="str">
        <f>封面!$A$4</f>
        <v>彰化縣地方教育發展基金－彰化縣秀水鄉馬興國民小學</v>
      </c>
      <c r="B1" s="716"/>
      <c r="C1" s="716"/>
    </row>
    <row r="2" spans="1:5" ht="25.5" customHeight="1" x14ac:dyDescent="0.25">
      <c r="A2" s="717" t="s">
        <v>75</v>
      </c>
      <c r="B2" s="717"/>
      <c r="C2" s="717"/>
    </row>
    <row r="3" spans="1:5" ht="24" customHeight="1" x14ac:dyDescent="0.25">
      <c r="A3" s="718" t="str">
        <f>封面!$E$10&amp;封面!$H$10&amp;封面!$I$10&amp;封面!$J$10&amp;封面!$K$10&amp;封面!$O$10&amp;"日"</f>
        <v>中華民國110年12月31日</v>
      </c>
      <c r="B3" s="718"/>
      <c r="C3" s="718"/>
    </row>
    <row r="4" spans="1:5" s="25" customFormat="1" ht="23.25" customHeight="1" x14ac:dyDescent="0.25">
      <c r="A4" s="719"/>
      <c r="B4" s="719" t="s">
        <v>76</v>
      </c>
      <c r="C4" s="719"/>
    </row>
    <row r="5" spans="1:5" s="25" customFormat="1" ht="23.25" customHeight="1" x14ac:dyDescent="0.25">
      <c r="A5" s="719"/>
      <c r="B5" s="26" t="s">
        <v>77</v>
      </c>
      <c r="C5" s="24" t="s">
        <v>78</v>
      </c>
    </row>
    <row r="6" spans="1:5" ht="24" customHeight="1" x14ac:dyDescent="0.25">
      <c r="A6" s="27" t="s">
        <v>79</v>
      </c>
      <c r="B6" s="113"/>
      <c r="C6" s="114">
        <f>B7</f>
        <v>2344442</v>
      </c>
    </row>
    <row r="7" spans="1:5" ht="24" customHeight="1" x14ac:dyDescent="0.25">
      <c r="A7" s="225" t="s">
        <v>201</v>
      </c>
      <c r="B7" s="113">
        <f>VLOOKUP("銀行存款-縣庫存款",平衡!$E$13:$H$47,4,0)</f>
        <v>2344442</v>
      </c>
      <c r="C7" s="115"/>
    </row>
    <row r="8" spans="1:5" ht="24" customHeight="1" x14ac:dyDescent="0.25">
      <c r="A8" s="106" t="s">
        <v>157</v>
      </c>
      <c r="B8" s="113"/>
      <c r="C8" s="389">
        <f>SUM(B9:B14)</f>
        <v>0</v>
      </c>
    </row>
    <row r="9" spans="1:5" ht="24" hidden="1" customHeight="1" x14ac:dyDescent="0.25">
      <c r="A9" s="27" t="s">
        <v>80</v>
      </c>
      <c r="B9" s="113"/>
      <c r="C9" s="115"/>
    </row>
    <row r="10" spans="1:5" ht="24" hidden="1" customHeight="1" x14ac:dyDescent="0.25">
      <c r="A10" s="27" t="s">
        <v>81</v>
      </c>
      <c r="B10" s="113"/>
      <c r="C10" s="115"/>
    </row>
    <row r="11" spans="1:5" ht="24" customHeight="1" x14ac:dyDescent="0.25">
      <c r="A11" s="226"/>
      <c r="B11" s="113"/>
      <c r="C11" s="115"/>
    </row>
    <row r="12" spans="1:5" ht="24" customHeight="1" x14ac:dyDescent="0.25">
      <c r="A12" s="226"/>
      <c r="B12" s="113"/>
      <c r="C12" s="115"/>
    </row>
    <row r="13" spans="1:5" ht="24" customHeight="1" x14ac:dyDescent="0.25">
      <c r="A13" s="226"/>
      <c r="B13" s="113"/>
      <c r="C13" s="375"/>
      <c r="D13" s="376"/>
      <c r="E13" s="376"/>
    </row>
    <row r="14" spans="1:5" ht="24" customHeight="1" x14ac:dyDescent="0.25">
      <c r="A14" s="226"/>
      <c r="B14" s="113"/>
      <c r="C14" s="375"/>
      <c r="D14" s="376"/>
      <c r="E14" s="376"/>
    </row>
    <row r="15" spans="1:5" ht="24" customHeight="1" x14ac:dyDescent="0.25">
      <c r="A15" s="27" t="s">
        <v>82</v>
      </c>
      <c r="B15" s="113"/>
      <c r="C15" s="389">
        <f>SUM(B16:B17)</f>
        <v>0</v>
      </c>
      <c r="D15" s="376"/>
      <c r="E15" s="376"/>
    </row>
    <row r="16" spans="1:5" ht="24" customHeight="1" x14ac:dyDescent="0.25">
      <c r="A16" s="286" t="str">
        <f>IF(B16&gt;0,封面!J10+1&amp;"月公庫撥款收入","")</f>
        <v/>
      </c>
      <c r="B16" s="113"/>
      <c r="C16" s="375"/>
      <c r="D16" s="376"/>
      <c r="E16" s="376"/>
    </row>
    <row r="17" spans="1:5" ht="24" customHeight="1" x14ac:dyDescent="0.25">
      <c r="A17" s="225"/>
      <c r="B17" s="113"/>
      <c r="C17" s="375"/>
      <c r="D17" s="376"/>
      <c r="E17" s="376"/>
    </row>
    <row r="18" spans="1:5" ht="24" customHeight="1" x14ac:dyDescent="0.25">
      <c r="A18" s="27" t="s">
        <v>83</v>
      </c>
      <c r="B18" s="113"/>
      <c r="C18" s="389">
        <f>SUM(B19:B20)</f>
        <v>0</v>
      </c>
      <c r="D18" s="376"/>
      <c r="E18" s="376"/>
    </row>
    <row r="19" spans="1:5" ht="24" customHeight="1" x14ac:dyDescent="0.25">
      <c r="A19" s="226"/>
      <c r="B19" s="113"/>
      <c r="C19" s="375"/>
      <c r="D19" s="376"/>
      <c r="E19" s="376"/>
    </row>
    <row r="20" spans="1:5" ht="24" customHeight="1" x14ac:dyDescent="0.25">
      <c r="A20" s="225"/>
      <c r="B20" s="113"/>
      <c r="C20" s="375"/>
      <c r="D20" s="376"/>
      <c r="E20" s="376"/>
    </row>
    <row r="21" spans="1:5" ht="24" customHeight="1" x14ac:dyDescent="0.25">
      <c r="A21" s="27" t="s">
        <v>84</v>
      </c>
      <c r="B21" s="113"/>
      <c r="C21" s="389">
        <f>SUM(B22:B23)</f>
        <v>0</v>
      </c>
      <c r="D21" s="376"/>
      <c r="E21" s="376"/>
    </row>
    <row r="22" spans="1:5" ht="24" customHeight="1" x14ac:dyDescent="0.25">
      <c r="A22" s="225"/>
      <c r="B22" s="113"/>
      <c r="C22" s="375"/>
      <c r="D22" s="376"/>
      <c r="E22" s="376"/>
    </row>
    <row r="23" spans="1:5" ht="24" customHeight="1" x14ac:dyDescent="0.25">
      <c r="A23" s="225"/>
      <c r="B23" s="113"/>
      <c r="C23" s="115"/>
    </row>
    <row r="24" spans="1:5" ht="24" customHeight="1" x14ac:dyDescent="0.25">
      <c r="A24" s="27" t="s">
        <v>188</v>
      </c>
      <c r="B24" s="113"/>
      <c r="C24" s="114">
        <f>C6+C8+C15-C18-C21</f>
        <v>2344442</v>
      </c>
      <c r="D24" s="23">
        <f>VLOOKUP(1,縣庫對帳!$A$4:$L$100,12)</f>
        <v>2344442</v>
      </c>
      <c r="E24" s="23">
        <f>C24-D24</f>
        <v>0</v>
      </c>
    </row>
    <row r="25" spans="1:5" ht="24" customHeight="1" x14ac:dyDescent="0.25">
      <c r="A25" s="225"/>
      <c r="B25" s="113"/>
      <c r="C25" s="115"/>
    </row>
    <row r="27" spans="1:5" x14ac:dyDescent="0.25">
      <c r="A27" s="714"/>
      <c r="B27" s="714"/>
      <c r="C27" s="714"/>
    </row>
  </sheetData>
  <mergeCells count="6">
    <mergeCell ref="A27:C27"/>
    <mergeCell ref="A1:C1"/>
    <mergeCell ref="A2:C2"/>
    <mergeCell ref="A3:C3"/>
    <mergeCell ref="A4:A5"/>
    <mergeCell ref="B4:C4"/>
  </mergeCells>
  <phoneticPr fontId="9" type="noConversion"/>
  <conditionalFormatting sqref="C24">
    <cfRule type="cellIs" dxfId="5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V995"/>
  <sheetViews>
    <sheetView showZeros="0" view="pageBreakPreview" zoomScale="80" zoomScaleSheetLayoutView="80" workbookViewId="0">
      <pane xSplit="2" ySplit="3" topLeftCell="C4" activePane="bottomRight" state="frozen"/>
      <selection activeCell="T25" sqref="T25"/>
      <selection pane="topRight" activeCell="T25" sqref="T25"/>
      <selection pane="bottomLeft" activeCell="T25" sqref="T25"/>
      <selection pane="bottomRight" activeCell="T25" sqref="T25"/>
    </sheetView>
  </sheetViews>
  <sheetFormatPr defaultColWidth="9.109375" defaultRowHeight="16.2" x14ac:dyDescent="0.3"/>
  <cols>
    <col min="1" max="1" width="3.44140625" style="72" bestFit="1" customWidth="1"/>
    <col min="2" max="2" width="18.6640625" style="52" customWidth="1"/>
    <col min="3" max="3" width="17.6640625" style="52" customWidth="1"/>
    <col min="4" max="4" width="10.6640625" style="52" customWidth="1"/>
    <col min="5" max="5" width="9.109375" style="53" customWidth="1"/>
    <col min="6" max="6" width="8.109375" style="53" customWidth="1"/>
    <col min="7" max="7" width="10.6640625" style="30" customWidth="1"/>
    <col min="8" max="8" width="10.88671875" style="30" customWidth="1"/>
    <col min="9" max="9" width="13.109375" style="30" customWidth="1"/>
    <col min="10" max="10" width="13.5546875" style="30" customWidth="1"/>
    <col min="11" max="12" width="12.5546875" style="30" customWidth="1"/>
    <col min="13" max="13" width="11.109375" style="30" bestFit="1" customWidth="1"/>
    <col min="14" max="14" width="13" style="29" bestFit="1" customWidth="1"/>
    <col min="15" max="15" width="11.109375" style="29" bestFit="1" customWidth="1"/>
    <col min="16" max="16" width="12.44140625" style="29" bestFit="1" customWidth="1"/>
    <col min="17" max="17" width="19" style="29" bestFit="1" customWidth="1"/>
    <col min="18" max="18" width="9.109375" style="29"/>
    <col min="19" max="19" width="13.109375" style="29" bestFit="1" customWidth="1"/>
    <col min="20" max="16384" width="9.109375" style="29"/>
  </cols>
  <sheetData>
    <row r="1" spans="1:22" s="56" customFormat="1" ht="27.75" customHeight="1" x14ac:dyDescent="0.45">
      <c r="A1" s="165"/>
      <c r="B1" s="720" t="s">
        <v>85</v>
      </c>
      <c r="C1" s="720"/>
      <c r="D1" s="720"/>
      <c r="E1" s="720"/>
      <c r="F1" s="720"/>
      <c r="G1" s="720"/>
      <c r="H1" s="720"/>
      <c r="I1" s="720"/>
      <c r="J1" s="720"/>
      <c r="K1" s="720"/>
      <c r="L1" s="720"/>
      <c r="M1" s="153"/>
      <c r="N1" s="58"/>
      <c r="O1" s="58"/>
      <c r="P1" s="58"/>
      <c r="Q1" s="54"/>
      <c r="R1" s="54"/>
      <c r="S1" s="54"/>
      <c r="T1" s="54"/>
      <c r="U1" s="54"/>
      <c r="V1" s="55"/>
    </row>
    <row r="2" spans="1:22" s="56" customFormat="1" ht="32.4" x14ac:dyDescent="0.45">
      <c r="A2" s="165"/>
      <c r="B2" s="721" t="str">
        <f>封面!$E$10&amp;封面!$H$10&amp;封面!$I$10&amp;封面!$J$10&amp;封面!$K$10&amp;封面!L10</f>
        <v>中華民國110年12月份</v>
      </c>
      <c r="C2" s="721"/>
      <c r="D2" s="721"/>
      <c r="E2" s="721"/>
      <c r="F2" s="721"/>
      <c r="G2" s="721"/>
      <c r="H2" s="721"/>
      <c r="I2" s="721"/>
      <c r="J2" s="721"/>
      <c r="K2" s="721"/>
      <c r="L2" s="721"/>
      <c r="M2" s="154"/>
      <c r="N2" s="167" t="s">
        <v>163</v>
      </c>
      <c r="O2" s="167"/>
      <c r="P2" s="167" t="s">
        <v>162</v>
      </c>
      <c r="Q2" s="57"/>
      <c r="R2" s="57"/>
      <c r="S2" s="57"/>
      <c r="T2" s="57"/>
      <c r="U2" s="57"/>
      <c r="V2" s="57"/>
    </row>
    <row r="3" spans="1:22" s="72" customFormat="1" x14ac:dyDescent="0.25">
      <c r="B3" s="187" t="s">
        <v>176</v>
      </c>
      <c r="C3" s="187" t="s">
        <v>177</v>
      </c>
      <c r="D3" s="187" t="s">
        <v>178</v>
      </c>
      <c r="E3" s="188" t="s">
        <v>179</v>
      </c>
      <c r="F3" s="188" t="s">
        <v>86</v>
      </c>
      <c r="G3" s="189" t="s">
        <v>180</v>
      </c>
      <c r="H3" s="190" t="s">
        <v>181</v>
      </c>
      <c r="I3" s="190" t="s">
        <v>4</v>
      </c>
      <c r="J3" s="190" t="s">
        <v>182</v>
      </c>
      <c r="K3" s="190" t="s">
        <v>183</v>
      </c>
      <c r="L3" s="190" t="s">
        <v>87</v>
      </c>
      <c r="M3" s="70"/>
      <c r="N3" s="201">
        <f>VLOOKUP(1,$A$4:$L$98,10,0)-N4+N5-P9</f>
        <v>35921448</v>
      </c>
      <c r="O3" s="201"/>
      <c r="P3" s="201">
        <f>VLOOKUP(1,$A$4:$L$98,11,0)-P4+P5-P6+P7-P8-P9</f>
        <v>36052768</v>
      </c>
      <c r="Q3" s="71"/>
    </row>
    <row r="4" spans="1:22" s="53" customFormat="1" x14ac:dyDescent="0.3">
      <c r="A4" s="69"/>
      <c r="B4" s="191" t="s">
        <v>656</v>
      </c>
      <c r="C4" s="192" t="s">
        <v>657</v>
      </c>
      <c r="D4" s="192" t="s">
        <v>658</v>
      </c>
      <c r="E4" s="192" t="s">
        <v>658</v>
      </c>
      <c r="F4" s="192" t="s">
        <v>658</v>
      </c>
      <c r="G4" s="192" t="s">
        <v>658</v>
      </c>
      <c r="H4" s="192" t="s">
        <v>659</v>
      </c>
      <c r="I4" s="193" t="s">
        <v>658</v>
      </c>
      <c r="J4" s="193">
        <v>38371870</v>
      </c>
      <c r="K4" s="193">
        <v>35166071</v>
      </c>
      <c r="L4" s="193">
        <v>3205799</v>
      </c>
      <c r="M4" s="224" t="s">
        <v>190</v>
      </c>
      <c r="N4" s="202">
        <v>2475762</v>
      </c>
      <c r="O4" s="203" t="s">
        <v>191</v>
      </c>
      <c r="P4" s="204">
        <f>VLOOKUP("零用及週轉金",平衡!$D$13:$H$48,5,0)</f>
        <v>0</v>
      </c>
      <c r="Q4" s="30"/>
    </row>
    <row r="5" spans="1:22" s="53" customFormat="1" x14ac:dyDescent="0.3">
      <c r="A5" s="69"/>
      <c r="B5" s="191" t="s">
        <v>656</v>
      </c>
      <c r="C5" s="192" t="s">
        <v>657</v>
      </c>
      <c r="D5" s="192" t="s">
        <v>660</v>
      </c>
      <c r="E5" s="192" t="s">
        <v>661</v>
      </c>
      <c r="F5" s="192" t="s">
        <v>662</v>
      </c>
      <c r="G5" s="192" t="s">
        <v>658</v>
      </c>
      <c r="H5" s="192" t="s">
        <v>663</v>
      </c>
      <c r="I5" s="193">
        <v>16000</v>
      </c>
      <c r="J5" s="193">
        <v>38371870</v>
      </c>
      <c r="K5" s="193">
        <v>35182071</v>
      </c>
      <c r="L5" s="193">
        <v>3189799</v>
      </c>
      <c r="M5" s="203" t="s">
        <v>192</v>
      </c>
      <c r="N5" s="204">
        <f>-庫款差額!C15+庫款差額!C18</f>
        <v>0</v>
      </c>
      <c r="O5" s="203" t="s">
        <v>192</v>
      </c>
      <c r="P5" s="204">
        <f>庫款差額!C8-庫款差額!C21</f>
        <v>0</v>
      </c>
      <c r="Q5" s="30"/>
    </row>
    <row r="6" spans="1:22" s="53" customFormat="1" ht="23.4" x14ac:dyDescent="0.3">
      <c r="A6" s="69"/>
      <c r="B6" s="191" t="s">
        <v>656</v>
      </c>
      <c r="C6" s="192" t="s">
        <v>657</v>
      </c>
      <c r="D6" s="192" t="s">
        <v>660</v>
      </c>
      <c r="E6" s="191" t="s">
        <v>664</v>
      </c>
      <c r="F6" s="191" t="s">
        <v>665</v>
      </c>
      <c r="G6" s="192" t="s">
        <v>658</v>
      </c>
      <c r="H6" s="192" t="s">
        <v>663</v>
      </c>
      <c r="I6" s="193">
        <v>24000</v>
      </c>
      <c r="J6" s="193">
        <v>38371870</v>
      </c>
      <c r="K6" s="193">
        <v>35206071</v>
      </c>
      <c r="L6" s="193">
        <v>3165799</v>
      </c>
      <c r="M6" s="118"/>
      <c r="N6" s="205"/>
      <c r="O6" s="206" t="s">
        <v>197</v>
      </c>
      <c r="P6" s="204"/>
      <c r="Q6" s="30"/>
    </row>
    <row r="7" spans="1:22" s="53" customFormat="1" ht="23.4" x14ac:dyDescent="0.3">
      <c r="A7" s="69"/>
      <c r="B7" s="191" t="s">
        <v>656</v>
      </c>
      <c r="C7" s="192" t="s">
        <v>657</v>
      </c>
      <c r="D7" s="192" t="s">
        <v>666</v>
      </c>
      <c r="E7" s="191" t="s">
        <v>667</v>
      </c>
      <c r="F7" s="191" t="s">
        <v>668</v>
      </c>
      <c r="G7" s="192" t="s">
        <v>658</v>
      </c>
      <c r="H7" s="192" t="s">
        <v>663</v>
      </c>
      <c r="I7" s="193">
        <v>90497</v>
      </c>
      <c r="J7" s="193">
        <v>38371870</v>
      </c>
      <c r="K7" s="193">
        <v>35296568</v>
      </c>
      <c r="L7" s="193">
        <v>3075302</v>
      </c>
      <c r="M7" s="118"/>
      <c r="N7" s="205"/>
      <c r="O7" s="206" t="s">
        <v>198</v>
      </c>
      <c r="P7" s="204">
        <f>IF(Q7=0,0,VLOOKUP("應付費用",平衡!$N$13:$U$47,4,0))</f>
        <v>0</v>
      </c>
      <c r="Q7" s="30"/>
    </row>
    <row r="8" spans="1:22" s="53" customFormat="1" x14ac:dyDescent="0.3">
      <c r="A8" s="69"/>
      <c r="B8" s="191" t="s">
        <v>656</v>
      </c>
      <c r="C8" s="192" t="s">
        <v>657</v>
      </c>
      <c r="D8" s="192" t="s">
        <v>666</v>
      </c>
      <c r="E8" s="191" t="s">
        <v>669</v>
      </c>
      <c r="F8" s="191" t="s">
        <v>670</v>
      </c>
      <c r="G8" s="192" t="s">
        <v>658</v>
      </c>
      <c r="H8" s="192" t="s">
        <v>663</v>
      </c>
      <c r="I8" s="193">
        <v>11000</v>
      </c>
      <c r="J8" s="193">
        <v>38371870</v>
      </c>
      <c r="K8" s="193">
        <v>35307568</v>
      </c>
      <c r="L8" s="193">
        <v>3064302</v>
      </c>
      <c r="M8" s="118"/>
      <c r="N8" s="205"/>
      <c r="O8" s="204" t="s">
        <v>193</v>
      </c>
      <c r="P8" s="204"/>
      <c r="Q8" s="30"/>
    </row>
    <row r="9" spans="1:22" s="53" customFormat="1" x14ac:dyDescent="0.3">
      <c r="A9" s="69"/>
      <c r="B9" s="191" t="s">
        <v>656</v>
      </c>
      <c r="C9" s="192" t="s">
        <v>657</v>
      </c>
      <c r="D9" s="192" t="s">
        <v>671</v>
      </c>
      <c r="E9" s="191" t="s">
        <v>672</v>
      </c>
      <c r="F9" s="191" t="s">
        <v>673</v>
      </c>
      <c r="G9" s="192" t="s">
        <v>658</v>
      </c>
      <c r="H9" s="192" t="s">
        <v>663</v>
      </c>
      <c r="I9" s="193">
        <v>24097</v>
      </c>
      <c r="J9" s="193">
        <v>38371870</v>
      </c>
      <c r="K9" s="193">
        <v>35331665</v>
      </c>
      <c r="L9" s="193">
        <v>3040205</v>
      </c>
      <c r="M9" s="118"/>
      <c r="N9" s="30"/>
      <c r="O9" s="204" t="s">
        <v>194</v>
      </c>
      <c r="P9" s="204"/>
      <c r="Q9" s="30"/>
    </row>
    <row r="10" spans="1:22" s="53" customFormat="1" ht="27.6" x14ac:dyDescent="0.3">
      <c r="A10" s="69"/>
      <c r="B10" s="191" t="s">
        <v>656</v>
      </c>
      <c r="C10" s="192" t="s">
        <v>657</v>
      </c>
      <c r="D10" s="192" t="s">
        <v>674</v>
      </c>
      <c r="E10" s="191" t="s">
        <v>675</v>
      </c>
      <c r="F10" s="191" t="s">
        <v>658</v>
      </c>
      <c r="G10" s="192">
        <v>5452</v>
      </c>
      <c r="H10" s="192" t="s">
        <v>676</v>
      </c>
      <c r="I10" s="193" t="s">
        <v>658</v>
      </c>
      <c r="J10" s="193">
        <v>38377322</v>
      </c>
      <c r="K10" s="193">
        <v>35331665</v>
      </c>
      <c r="L10" s="193">
        <v>3045657</v>
      </c>
      <c r="M10" s="118"/>
      <c r="N10" s="30"/>
      <c r="O10" s="30"/>
      <c r="P10" s="30"/>
      <c r="Q10" s="30"/>
    </row>
    <row r="11" spans="1:22" s="53" customFormat="1" x14ac:dyDescent="0.3">
      <c r="A11" s="69"/>
      <c r="B11" s="191" t="s">
        <v>656</v>
      </c>
      <c r="C11" s="192" t="s">
        <v>657</v>
      </c>
      <c r="D11" s="192" t="s">
        <v>677</v>
      </c>
      <c r="E11" s="191" t="s">
        <v>678</v>
      </c>
      <c r="F11" s="191" t="s">
        <v>679</v>
      </c>
      <c r="G11" s="192" t="s">
        <v>658</v>
      </c>
      <c r="H11" s="192" t="s">
        <v>663</v>
      </c>
      <c r="I11" s="193">
        <v>98056</v>
      </c>
      <c r="J11" s="193">
        <v>38377322</v>
      </c>
      <c r="K11" s="193">
        <v>35429721</v>
      </c>
      <c r="L11" s="193">
        <v>2947601</v>
      </c>
      <c r="M11" s="118"/>
      <c r="N11" s="30"/>
      <c r="O11" s="30"/>
      <c r="P11" s="30"/>
      <c r="Q11" s="30"/>
    </row>
    <row r="12" spans="1:22" s="53" customFormat="1" x14ac:dyDescent="0.3">
      <c r="A12" s="69"/>
      <c r="B12" s="191" t="s">
        <v>656</v>
      </c>
      <c r="C12" s="192" t="s">
        <v>657</v>
      </c>
      <c r="D12" s="192" t="s">
        <v>680</v>
      </c>
      <c r="E12" s="191" t="s">
        <v>681</v>
      </c>
      <c r="F12" s="191" t="s">
        <v>682</v>
      </c>
      <c r="G12" s="192" t="s">
        <v>658</v>
      </c>
      <c r="H12" s="192" t="s">
        <v>663</v>
      </c>
      <c r="I12" s="193">
        <v>278498</v>
      </c>
      <c r="J12" s="193">
        <v>38377322</v>
      </c>
      <c r="K12" s="193">
        <v>35708219</v>
      </c>
      <c r="L12" s="193">
        <v>2669103</v>
      </c>
      <c r="M12" s="118"/>
      <c r="N12" s="30"/>
      <c r="O12" s="30"/>
      <c r="P12" s="30"/>
      <c r="Q12" s="30"/>
    </row>
    <row r="13" spans="1:22" s="53" customFormat="1" x14ac:dyDescent="0.3">
      <c r="A13" s="69"/>
      <c r="B13" s="191" t="s">
        <v>656</v>
      </c>
      <c r="C13" s="374" t="s">
        <v>657</v>
      </c>
      <c r="D13" s="374" t="s">
        <v>680</v>
      </c>
      <c r="E13" s="374" t="s">
        <v>683</v>
      </c>
      <c r="F13" s="191" t="s">
        <v>684</v>
      </c>
      <c r="G13" s="192" t="s">
        <v>658</v>
      </c>
      <c r="H13" s="192" t="s">
        <v>663</v>
      </c>
      <c r="I13" s="193">
        <v>15814</v>
      </c>
      <c r="J13" s="193">
        <v>38377322</v>
      </c>
      <c r="K13" s="193">
        <v>35724033</v>
      </c>
      <c r="L13" s="193">
        <v>2653289</v>
      </c>
      <c r="M13" s="118"/>
      <c r="N13" s="30"/>
      <c r="O13" s="30"/>
      <c r="P13" s="30"/>
      <c r="Q13" s="30"/>
    </row>
    <row r="14" spans="1:22" s="53" customFormat="1" x14ac:dyDescent="0.3">
      <c r="A14" s="69"/>
      <c r="B14" s="191" t="s">
        <v>656</v>
      </c>
      <c r="C14" s="374" t="s">
        <v>657</v>
      </c>
      <c r="D14" s="374" t="s">
        <v>685</v>
      </c>
      <c r="E14" s="374" t="s">
        <v>686</v>
      </c>
      <c r="F14" s="191" t="s">
        <v>687</v>
      </c>
      <c r="G14" s="192" t="s">
        <v>658</v>
      </c>
      <c r="H14" s="192" t="s">
        <v>663</v>
      </c>
      <c r="I14" s="193">
        <v>157440</v>
      </c>
      <c r="J14" s="193">
        <v>38377322</v>
      </c>
      <c r="K14" s="193">
        <v>35881473</v>
      </c>
      <c r="L14" s="193">
        <v>2495849</v>
      </c>
      <c r="M14" s="118"/>
      <c r="N14" s="30"/>
      <c r="O14" s="30"/>
      <c r="P14" s="30"/>
      <c r="Q14" s="30"/>
    </row>
    <row r="15" spans="1:22" s="53" customFormat="1" ht="41.4" x14ac:dyDescent="0.3">
      <c r="A15" s="69"/>
      <c r="B15" s="191" t="s">
        <v>656</v>
      </c>
      <c r="C15" s="374" t="s">
        <v>657</v>
      </c>
      <c r="D15" s="374" t="s">
        <v>688</v>
      </c>
      <c r="E15" s="374" t="s">
        <v>689</v>
      </c>
      <c r="F15" s="191" t="s">
        <v>658</v>
      </c>
      <c r="G15" s="192">
        <v>2</v>
      </c>
      <c r="H15" s="192" t="s">
        <v>676</v>
      </c>
      <c r="I15" s="193" t="s">
        <v>658</v>
      </c>
      <c r="J15" s="193">
        <v>38377324</v>
      </c>
      <c r="K15" s="193">
        <v>35881473</v>
      </c>
      <c r="L15" s="193">
        <v>2495851</v>
      </c>
      <c r="M15" s="118"/>
      <c r="N15" s="30"/>
      <c r="O15" s="30"/>
      <c r="P15" s="30"/>
      <c r="Q15" s="30"/>
    </row>
    <row r="16" spans="1:22" s="53" customFormat="1" ht="41.4" x14ac:dyDescent="0.3">
      <c r="A16" s="69"/>
      <c r="B16" s="191" t="s">
        <v>656</v>
      </c>
      <c r="C16" s="374" t="s">
        <v>657</v>
      </c>
      <c r="D16" s="374" t="s">
        <v>688</v>
      </c>
      <c r="E16" s="374" t="s">
        <v>689</v>
      </c>
      <c r="F16" s="191" t="s">
        <v>658</v>
      </c>
      <c r="G16" s="192">
        <v>1604</v>
      </c>
      <c r="H16" s="192" t="s">
        <v>676</v>
      </c>
      <c r="I16" s="193" t="s">
        <v>658</v>
      </c>
      <c r="J16" s="193">
        <v>38378928</v>
      </c>
      <c r="K16" s="193">
        <v>35881473</v>
      </c>
      <c r="L16" s="193">
        <v>2497455</v>
      </c>
      <c r="M16" s="118"/>
      <c r="N16" s="30"/>
      <c r="O16" s="30"/>
      <c r="P16" s="30"/>
      <c r="Q16" s="30"/>
    </row>
    <row r="17" spans="1:19" s="53" customFormat="1" x14ac:dyDescent="0.3">
      <c r="A17" s="69"/>
      <c r="B17" s="194" t="s">
        <v>656</v>
      </c>
      <c r="C17" s="387" t="s">
        <v>657</v>
      </c>
      <c r="D17" s="387" t="s">
        <v>688</v>
      </c>
      <c r="E17" s="387" t="s">
        <v>689</v>
      </c>
      <c r="F17" s="194" t="s">
        <v>658</v>
      </c>
      <c r="G17" s="195">
        <v>5750</v>
      </c>
      <c r="H17" s="195" t="s">
        <v>676</v>
      </c>
      <c r="I17" s="195" t="s">
        <v>658</v>
      </c>
      <c r="J17" s="195">
        <v>38384678</v>
      </c>
      <c r="K17" s="195">
        <v>35881473</v>
      </c>
      <c r="L17" s="195">
        <v>2503205</v>
      </c>
      <c r="M17" s="118"/>
      <c r="N17" s="30"/>
      <c r="O17" s="30"/>
      <c r="P17" s="30"/>
      <c r="Q17" s="30"/>
    </row>
    <row r="18" spans="1:19" s="53" customFormat="1" x14ac:dyDescent="0.3">
      <c r="A18" s="69"/>
      <c r="B18" s="194" t="s">
        <v>656</v>
      </c>
      <c r="C18" s="387" t="s">
        <v>657</v>
      </c>
      <c r="D18" s="387" t="s">
        <v>688</v>
      </c>
      <c r="E18" s="387" t="s">
        <v>689</v>
      </c>
      <c r="F18" s="194" t="s">
        <v>658</v>
      </c>
      <c r="G18" s="195">
        <v>12532</v>
      </c>
      <c r="H18" s="195" t="s">
        <v>676</v>
      </c>
      <c r="I18" s="195" t="s">
        <v>658</v>
      </c>
      <c r="J18" s="195">
        <v>38397210</v>
      </c>
      <c r="K18" s="195">
        <v>35881473</v>
      </c>
      <c r="L18" s="195">
        <v>2515737</v>
      </c>
      <c r="M18" s="118"/>
      <c r="N18" s="30"/>
      <c r="O18" s="30"/>
      <c r="P18" s="30"/>
      <c r="Q18" s="30"/>
      <c r="S18" s="68"/>
    </row>
    <row r="19" spans="1:19" s="221" customFormat="1" x14ac:dyDescent="0.3">
      <c r="A19" s="218"/>
      <c r="B19" s="194" t="s">
        <v>656</v>
      </c>
      <c r="C19" s="387" t="s">
        <v>657</v>
      </c>
      <c r="D19" s="387" t="s">
        <v>690</v>
      </c>
      <c r="E19" s="387" t="s">
        <v>691</v>
      </c>
      <c r="F19" s="194" t="s">
        <v>692</v>
      </c>
      <c r="G19" s="195" t="s">
        <v>658</v>
      </c>
      <c r="H19" s="195" t="s">
        <v>663</v>
      </c>
      <c r="I19" s="195">
        <v>24000</v>
      </c>
      <c r="J19" s="195">
        <v>38397210</v>
      </c>
      <c r="K19" s="195">
        <v>35905473</v>
      </c>
      <c r="L19" s="195">
        <v>2491737</v>
      </c>
      <c r="M19" s="219"/>
      <c r="N19" s="220"/>
      <c r="O19" s="30"/>
      <c r="P19" s="30"/>
      <c r="Q19" s="220"/>
    </row>
    <row r="20" spans="1:19" s="221" customFormat="1" ht="13.8" x14ac:dyDescent="0.25">
      <c r="A20" s="218"/>
      <c r="B20" s="222" t="s">
        <v>656</v>
      </c>
      <c r="C20" s="388" t="s">
        <v>657</v>
      </c>
      <c r="D20" s="388" t="s">
        <v>690</v>
      </c>
      <c r="E20" s="388" t="s">
        <v>693</v>
      </c>
      <c r="F20" s="222" t="s">
        <v>694</v>
      </c>
      <c r="G20" s="219" t="s">
        <v>658</v>
      </c>
      <c r="H20" s="219" t="s">
        <v>663</v>
      </c>
      <c r="I20" s="219">
        <v>81661</v>
      </c>
      <c r="J20" s="219">
        <v>38397210</v>
      </c>
      <c r="K20" s="219">
        <v>35987134</v>
      </c>
      <c r="L20" s="219">
        <v>2410076</v>
      </c>
      <c r="M20" s="219"/>
      <c r="N20" s="220"/>
      <c r="O20" s="220"/>
      <c r="P20" s="220"/>
      <c r="Q20" s="220"/>
    </row>
    <row r="21" spans="1:19" s="221" customFormat="1" ht="13.8" x14ac:dyDescent="0.25">
      <c r="A21" s="218"/>
      <c r="B21" s="222" t="s">
        <v>656</v>
      </c>
      <c r="C21" s="388" t="s">
        <v>657</v>
      </c>
      <c r="D21" s="388" t="s">
        <v>690</v>
      </c>
      <c r="E21" s="388" t="s">
        <v>695</v>
      </c>
      <c r="F21" s="222" t="s">
        <v>696</v>
      </c>
      <c r="G21" s="219" t="s">
        <v>658</v>
      </c>
      <c r="H21" s="219" t="s">
        <v>663</v>
      </c>
      <c r="I21" s="219">
        <v>33634</v>
      </c>
      <c r="J21" s="219">
        <v>38397210</v>
      </c>
      <c r="K21" s="219">
        <v>36020768</v>
      </c>
      <c r="L21" s="219">
        <v>2376442</v>
      </c>
      <c r="M21" s="219"/>
      <c r="N21" s="220"/>
      <c r="O21" s="220"/>
      <c r="P21" s="220"/>
      <c r="Q21" s="220"/>
    </row>
    <row r="22" spans="1:19" s="221" customFormat="1" ht="13.8" x14ac:dyDescent="0.25">
      <c r="A22" s="218">
        <v>1</v>
      </c>
      <c r="B22" s="222" t="s">
        <v>656</v>
      </c>
      <c r="C22" s="388" t="s">
        <v>657</v>
      </c>
      <c r="D22" s="388" t="s">
        <v>697</v>
      </c>
      <c r="E22" s="388" t="s">
        <v>698</v>
      </c>
      <c r="F22" s="223" t="s">
        <v>699</v>
      </c>
      <c r="G22" s="219" t="s">
        <v>658</v>
      </c>
      <c r="H22" s="219" t="s">
        <v>663</v>
      </c>
      <c r="I22" s="219">
        <v>32000</v>
      </c>
      <c r="J22" s="219">
        <v>38397210</v>
      </c>
      <c r="K22" s="219">
        <v>36052768</v>
      </c>
      <c r="L22" s="219">
        <v>2344442</v>
      </c>
      <c r="M22" s="219"/>
      <c r="N22" s="220"/>
      <c r="O22" s="220"/>
      <c r="P22" s="220"/>
      <c r="Q22" s="220"/>
    </row>
    <row r="23" spans="1:19" s="53" customFormat="1" x14ac:dyDescent="0.3">
      <c r="A23" s="69"/>
      <c r="B23" s="116" t="s">
        <v>658</v>
      </c>
      <c r="C23" s="116" t="s">
        <v>700</v>
      </c>
      <c r="D23" s="116" t="s">
        <v>658</v>
      </c>
      <c r="E23" s="117" t="s">
        <v>658</v>
      </c>
      <c r="F23" s="117" t="s">
        <v>658</v>
      </c>
      <c r="G23" s="118">
        <v>25340</v>
      </c>
      <c r="H23" s="118" t="s">
        <v>658</v>
      </c>
      <c r="I23" s="118">
        <v>886697</v>
      </c>
      <c r="J23" s="118" t="s">
        <v>658</v>
      </c>
      <c r="K23" s="118" t="s">
        <v>658</v>
      </c>
      <c r="L23" s="118" t="s">
        <v>658</v>
      </c>
      <c r="M23" s="118"/>
      <c r="N23" s="30"/>
      <c r="O23" s="220"/>
      <c r="P23" s="220"/>
      <c r="Q23" s="30"/>
    </row>
    <row r="24" spans="1:19" s="53" customFormat="1" x14ac:dyDescent="0.3">
      <c r="A24" s="69"/>
      <c r="B24" s="116"/>
      <c r="C24" s="116"/>
      <c r="D24" s="116"/>
      <c r="E24" s="117"/>
      <c r="F24" s="117"/>
      <c r="G24" s="118"/>
      <c r="H24" s="118"/>
      <c r="I24" s="118"/>
      <c r="J24" s="118"/>
      <c r="K24" s="118"/>
      <c r="L24" s="118"/>
      <c r="M24" s="118"/>
      <c r="N24" s="30"/>
      <c r="O24" s="30"/>
      <c r="P24" s="30"/>
      <c r="Q24" s="30"/>
    </row>
    <row r="25" spans="1:19" s="53" customFormat="1" x14ac:dyDescent="0.3">
      <c r="A25" s="69"/>
      <c r="B25" s="116"/>
      <c r="C25" s="116"/>
      <c r="D25" s="116"/>
      <c r="E25" s="117"/>
      <c r="F25" s="117"/>
      <c r="G25" s="118"/>
      <c r="H25" s="118"/>
      <c r="I25" s="118"/>
      <c r="J25" s="118"/>
      <c r="K25" s="118"/>
      <c r="L25" s="118"/>
      <c r="M25" s="118"/>
      <c r="N25" s="30"/>
      <c r="O25" s="30"/>
      <c r="P25" s="30"/>
      <c r="Q25" s="30"/>
    </row>
    <row r="26" spans="1:19" x14ac:dyDescent="0.3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30"/>
    </row>
    <row r="27" spans="1:19" x14ac:dyDescent="0.3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30"/>
    </row>
    <row r="28" spans="1:19" x14ac:dyDescent="0.3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30"/>
    </row>
    <row r="29" spans="1:19" x14ac:dyDescent="0.3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30"/>
    </row>
    <row r="30" spans="1:19" x14ac:dyDescent="0.3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30"/>
    </row>
    <row r="31" spans="1:19" x14ac:dyDescent="0.3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30"/>
    </row>
    <row r="32" spans="1:19" x14ac:dyDescent="0.3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30"/>
    </row>
    <row r="33" spans="2:17" x14ac:dyDescent="0.3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30"/>
    </row>
    <row r="34" spans="2:17" x14ac:dyDescent="0.3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30"/>
    </row>
    <row r="35" spans="2:17" x14ac:dyDescent="0.3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30"/>
    </row>
    <row r="36" spans="2:17" x14ac:dyDescent="0.3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30"/>
    </row>
    <row r="37" spans="2:17" x14ac:dyDescent="0.3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30"/>
    </row>
    <row r="38" spans="2:17" x14ac:dyDescent="0.3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30"/>
    </row>
    <row r="39" spans="2:17" x14ac:dyDescent="0.3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30"/>
    </row>
    <row r="40" spans="2:17" x14ac:dyDescent="0.3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30"/>
    </row>
    <row r="41" spans="2:17" x14ac:dyDescent="0.3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30"/>
    </row>
    <row r="42" spans="2:17" x14ac:dyDescent="0.3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30"/>
    </row>
    <row r="43" spans="2:17" x14ac:dyDescent="0.3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30"/>
    </row>
    <row r="44" spans="2:17" x14ac:dyDescent="0.3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30"/>
    </row>
    <row r="45" spans="2:17" x14ac:dyDescent="0.3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30"/>
    </row>
    <row r="46" spans="2:17" x14ac:dyDescent="0.3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30"/>
    </row>
    <row r="47" spans="2:17" x14ac:dyDescent="0.3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30"/>
    </row>
    <row r="48" spans="2:17" x14ac:dyDescent="0.3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30"/>
    </row>
    <row r="49" spans="2:17" x14ac:dyDescent="0.3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30"/>
    </row>
    <row r="50" spans="2:17" x14ac:dyDescent="0.3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30"/>
    </row>
    <row r="51" spans="2:17" x14ac:dyDescent="0.3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30"/>
    </row>
    <row r="52" spans="2:17" x14ac:dyDescent="0.3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30"/>
    </row>
    <row r="53" spans="2:17" x14ac:dyDescent="0.3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30"/>
    </row>
    <row r="54" spans="2:17" x14ac:dyDescent="0.3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30"/>
    </row>
    <row r="55" spans="2:17" x14ac:dyDescent="0.3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30"/>
    </row>
    <row r="56" spans="2:17" x14ac:dyDescent="0.3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30"/>
    </row>
    <row r="57" spans="2:17" x14ac:dyDescent="0.3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30"/>
    </row>
    <row r="58" spans="2:17" x14ac:dyDescent="0.3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30"/>
    </row>
    <row r="59" spans="2:17" x14ac:dyDescent="0.3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30"/>
    </row>
    <row r="60" spans="2:17" x14ac:dyDescent="0.3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30"/>
    </row>
    <row r="61" spans="2:17" x14ac:dyDescent="0.3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30"/>
    </row>
    <row r="62" spans="2:17" x14ac:dyDescent="0.3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30"/>
    </row>
    <row r="63" spans="2:17" x14ac:dyDescent="0.3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30"/>
    </row>
    <row r="64" spans="2:17" x14ac:dyDescent="0.3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30"/>
    </row>
    <row r="65" spans="2:17" x14ac:dyDescent="0.3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30"/>
    </row>
    <row r="66" spans="2:17" x14ac:dyDescent="0.3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30"/>
    </row>
    <row r="67" spans="2:17" x14ac:dyDescent="0.3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30"/>
    </row>
    <row r="68" spans="2:17" x14ac:dyDescent="0.3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30"/>
    </row>
    <row r="69" spans="2:17" x14ac:dyDescent="0.3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30"/>
    </row>
    <row r="70" spans="2:17" x14ac:dyDescent="0.3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30"/>
    </row>
    <row r="71" spans="2:17" x14ac:dyDescent="0.3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30"/>
    </row>
    <row r="72" spans="2:17" x14ac:dyDescent="0.3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30"/>
    </row>
    <row r="73" spans="2:17" x14ac:dyDescent="0.3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30"/>
    </row>
    <row r="74" spans="2:17" x14ac:dyDescent="0.3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30"/>
    </row>
    <row r="75" spans="2:17" x14ac:dyDescent="0.3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30"/>
    </row>
    <row r="76" spans="2:17" x14ac:dyDescent="0.3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30"/>
    </row>
    <row r="77" spans="2:17" x14ac:dyDescent="0.3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30"/>
    </row>
    <row r="78" spans="2:17" x14ac:dyDescent="0.3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30"/>
    </row>
    <row r="79" spans="2:17" x14ac:dyDescent="0.3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30"/>
    </row>
    <row r="80" spans="2:17" x14ac:dyDescent="0.3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30"/>
    </row>
    <row r="81" spans="2:17" x14ac:dyDescent="0.3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30"/>
    </row>
    <row r="82" spans="2:17" x14ac:dyDescent="0.3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30"/>
    </row>
    <row r="83" spans="2:17" x14ac:dyDescent="0.3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30"/>
    </row>
    <row r="84" spans="2:17" x14ac:dyDescent="0.3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30"/>
    </row>
    <row r="85" spans="2:17" x14ac:dyDescent="0.3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30"/>
    </row>
    <row r="86" spans="2:17" x14ac:dyDescent="0.3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30"/>
    </row>
    <row r="87" spans="2:17" x14ac:dyDescent="0.3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30"/>
    </row>
    <row r="88" spans="2:17" x14ac:dyDescent="0.3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30"/>
    </row>
    <row r="89" spans="2:17" x14ac:dyDescent="0.3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30"/>
    </row>
    <row r="90" spans="2:17" x14ac:dyDescent="0.3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30"/>
    </row>
    <row r="91" spans="2:17" x14ac:dyDescent="0.3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30"/>
    </row>
    <row r="92" spans="2:17" x14ac:dyDescent="0.3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30"/>
    </row>
    <row r="93" spans="2:17" x14ac:dyDescent="0.3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30"/>
    </row>
    <row r="94" spans="2:17" x14ac:dyDescent="0.3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30"/>
    </row>
    <row r="95" spans="2:17" x14ac:dyDescent="0.3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30"/>
    </row>
    <row r="96" spans="2:17" x14ac:dyDescent="0.3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30"/>
    </row>
    <row r="97" spans="2:17" x14ac:dyDescent="0.3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30"/>
    </row>
    <row r="98" spans="2:17" x14ac:dyDescent="0.3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30"/>
    </row>
    <row r="99" spans="2:17" x14ac:dyDescent="0.3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30"/>
    </row>
    <row r="100" spans="2:17" x14ac:dyDescent="0.3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30"/>
    </row>
    <row r="101" spans="2:17" x14ac:dyDescent="0.3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30"/>
    </row>
    <row r="102" spans="2:17" x14ac:dyDescent="0.3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30"/>
    </row>
    <row r="103" spans="2:17" x14ac:dyDescent="0.3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30"/>
    </row>
    <row r="104" spans="2:17" x14ac:dyDescent="0.3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30"/>
    </row>
    <row r="105" spans="2:17" x14ac:dyDescent="0.3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30"/>
    </row>
    <row r="106" spans="2:17" x14ac:dyDescent="0.3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30"/>
    </row>
    <row r="107" spans="2:17" x14ac:dyDescent="0.3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30"/>
    </row>
    <row r="108" spans="2:17" x14ac:dyDescent="0.3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30"/>
    </row>
    <row r="109" spans="2:17" x14ac:dyDescent="0.3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30"/>
    </row>
    <row r="110" spans="2:17" x14ac:dyDescent="0.3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30"/>
    </row>
    <row r="111" spans="2:17" x14ac:dyDescent="0.3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30"/>
    </row>
    <row r="112" spans="2:17" x14ac:dyDescent="0.3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30"/>
    </row>
    <row r="113" spans="2:17" x14ac:dyDescent="0.3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30"/>
    </row>
    <row r="114" spans="2:17" x14ac:dyDescent="0.3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30"/>
    </row>
    <row r="115" spans="2:17" x14ac:dyDescent="0.3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30"/>
    </row>
    <row r="116" spans="2:17" x14ac:dyDescent="0.3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30"/>
    </row>
    <row r="117" spans="2:17" x14ac:dyDescent="0.3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30"/>
    </row>
    <row r="118" spans="2:17" x14ac:dyDescent="0.3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30"/>
    </row>
    <row r="119" spans="2:17" x14ac:dyDescent="0.3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30"/>
    </row>
    <row r="120" spans="2:17" x14ac:dyDescent="0.3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30"/>
    </row>
    <row r="121" spans="2:17" x14ac:dyDescent="0.3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30"/>
    </row>
    <row r="122" spans="2:17" x14ac:dyDescent="0.3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30"/>
    </row>
    <row r="123" spans="2:17" x14ac:dyDescent="0.3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30"/>
    </row>
    <row r="124" spans="2:17" x14ac:dyDescent="0.3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30"/>
    </row>
    <row r="125" spans="2:17" x14ac:dyDescent="0.3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30"/>
    </row>
    <row r="126" spans="2:17" x14ac:dyDescent="0.3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30"/>
    </row>
    <row r="127" spans="2:17" x14ac:dyDescent="0.3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30"/>
    </row>
    <row r="128" spans="2:17" x14ac:dyDescent="0.3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30"/>
    </row>
    <row r="129" spans="2:17" x14ac:dyDescent="0.3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30"/>
    </row>
    <row r="130" spans="2:17" x14ac:dyDescent="0.3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30"/>
    </row>
    <row r="131" spans="2:17" x14ac:dyDescent="0.3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30"/>
    </row>
    <row r="132" spans="2:17" x14ac:dyDescent="0.3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30"/>
    </row>
    <row r="133" spans="2:17" x14ac:dyDescent="0.3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30"/>
    </row>
    <row r="134" spans="2:17" x14ac:dyDescent="0.3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30"/>
    </row>
    <row r="135" spans="2:17" x14ac:dyDescent="0.3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30"/>
    </row>
    <row r="136" spans="2:17" x14ac:dyDescent="0.3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30"/>
    </row>
    <row r="137" spans="2:17" x14ac:dyDescent="0.3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30"/>
    </row>
    <row r="138" spans="2:17" x14ac:dyDescent="0.3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30"/>
    </row>
    <row r="139" spans="2:17" x14ac:dyDescent="0.3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30"/>
    </row>
    <row r="140" spans="2:17" x14ac:dyDescent="0.3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30"/>
    </row>
    <row r="141" spans="2:17" x14ac:dyDescent="0.3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30"/>
    </row>
    <row r="142" spans="2:17" x14ac:dyDescent="0.3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30"/>
    </row>
    <row r="143" spans="2:17" x14ac:dyDescent="0.3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30"/>
    </row>
    <row r="144" spans="2:17" x14ac:dyDescent="0.3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30"/>
    </row>
    <row r="145" spans="2:17" x14ac:dyDescent="0.3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30"/>
    </row>
    <row r="146" spans="2:17" x14ac:dyDescent="0.3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30"/>
    </row>
    <row r="147" spans="2:17" x14ac:dyDescent="0.3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30"/>
    </row>
    <row r="148" spans="2:17" x14ac:dyDescent="0.3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30"/>
    </row>
    <row r="149" spans="2:17" x14ac:dyDescent="0.3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30"/>
    </row>
    <row r="150" spans="2:17" x14ac:dyDescent="0.3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30"/>
    </row>
    <row r="151" spans="2:17" x14ac:dyDescent="0.3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30"/>
    </row>
    <row r="152" spans="2:17" x14ac:dyDescent="0.3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30"/>
    </row>
    <row r="153" spans="2:17" x14ac:dyDescent="0.3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30"/>
    </row>
    <row r="154" spans="2:17" x14ac:dyDescent="0.3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30"/>
    </row>
    <row r="155" spans="2:17" x14ac:dyDescent="0.3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30"/>
    </row>
    <row r="156" spans="2:17" x14ac:dyDescent="0.3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30"/>
    </row>
    <row r="157" spans="2:17" x14ac:dyDescent="0.3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30"/>
    </row>
    <row r="158" spans="2:17" x14ac:dyDescent="0.3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30"/>
    </row>
    <row r="159" spans="2:17" x14ac:dyDescent="0.3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30"/>
    </row>
    <row r="160" spans="2:17" x14ac:dyDescent="0.3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30"/>
    </row>
    <row r="161" spans="2:17" x14ac:dyDescent="0.3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30"/>
    </row>
    <row r="162" spans="2:17" x14ac:dyDescent="0.3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30"/>
    </row>
    <row r="163" spans="2:17" x14ac:dyDescent="0.3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30"/>
    </row>
    <row r="164" spans="2:17" x14ac:dyDescent="0.3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30"/>
    </row>
    <row r="165" spans="2:17" x14ac:dyDescent="0.3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30"/>
    </row>
    <row r="166" spans="2:17" x14ac:dyDescent="0.3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30"/>
    </row>
    <row r="167" spans="2:17" x14ac:dyDescent="0.3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30"/>
    </row>
    <row r="168" spans="2:17" x14ac:dyDescent="0.3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30"/>
    </row>
    <row r="169" spans="2:17" x14ac:dyDescent="0.3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30"/>
    </row>
    <row r="170" spans="2:17" x14ac:dyDescent="0.3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30"/>
    </row>
    <row r="171" spans="2:17" x14ac:dyDescent="0.3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30"/>
    </row>
    <row r="172" spans="2:17" x14ac:dyDescent="0.3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30"/>
    </row>
    <row r="173" spans="2:17" x14ac:dyDescent="0.3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30"/>
    </row>
    <row r="174" spans="2:17" x14ac:dyDescent="0.3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30"/>
    </row>
    <row r="175" spans="2:17" x14ac:dyDescent="0.3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30"/>
    </row>
    <row r="176" spans="2:17" x14ac:dyDescent="0.3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30"/>
    </row>
    <row r="177" spans="2:17" x14ac:dyDescent="0.3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30"/>
    </row>
    <row r="178" spans="2:17" x14ac:dyDescent="0.3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30"/>
    </row>
    <row r="179" spans="2:17" x14ac:dyDescent="0.3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30"/>
    </row>
    <row r="180" spans="2:17" x14ac:dyDescent="0.3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30"/>
    </row>
    <row r="181" spans="2:17" x14ac:dyDescent="0.3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30"/>
    </row>
    <row r="182" spans="2:17" x14ac:dyDescent="0.3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30"/>
    </row>
    <row r="183" spans="2:17" x14ac:dyDescent="0.3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30"/>
    </row>
    <row r="184" spans="2:17" x14ac:dyDescent="0.3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30"/>
    </row>
    <row r="185" spans="2:17" x14ac:dyDescent="0.3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30"/>
    </row>
    <row r="186" spans="2:17" x14ac:dyDescent="0.3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30"/>
    </row>
    <row r="187" spans="2:17" x14ac:dyDescent="0.3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30"/>
    </row>
    <row r="188" spans="2:17" x14ac:dyDescent="0.3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30"/>
    </row>
    <row r="189" spans="2:17" x14ac:dyDescent="0.3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30"/>
    </row>
    <row r="190" spans="2:17" x14ac:dyDescent="0.3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30"/>
    </row>
    <row r="191" spans="2:17" x14ac:dyDescent="0.3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30"/>
    </row>
    <row r="192" spans="2:17" x14ac:dyDescent="0.3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30"/>
    </row>
    <row r="193" spans="2:17" x14ac:dyDescent="0.3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30"/>
    </row>
    <row r="194" spans="2:17" x14ac:dyDescent="0.3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30"/>
    </row>
    <row r="195" spans="2:17" x14ac:dyDescent="0.3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30"/>
    </row>
    <row r="196" spans="2:17" x14ac:dyDescent="0.3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30"/>
    </row>
    <row r="197" spans="2:17" x14ac:dyDescent="0.3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30"/>
    </row>
    <row r="198" spans="2:17" x14ac:dyDescent="0.3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30"/>
    </row>
    <row r="199" spans="2:17" x14ac:dyDescent="0.3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30"/>
    </row>
    <row r="200" spans="2:17" x14ac:dyDescent="0.3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30"/>
    </row>
    <row r="201" spans="2:17" x14ac:dyDescent="0.3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30"/>
    </row>
    <row r="202" spans="2:17" x14ac:dyDescent="0.3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30"/>
    </row>
    <row r="203" spans="2:17" x14ac:dyDescent="0.3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30"/>
    </row>
    <row r="204" spans="2:17" x14ac:dyDescent="0.3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30"/>
    </row>
    <row r="205" spans="2:17" x14ac:dyDescent="0.3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30"/>
    </row>
    <row r="206" spans="2:17" x14ac:dyDescent="0.3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30"/>
    </row>
    <row r="207" spans="2:17" x14ac:dyDescent="0.3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30"/>
    </row>
    <row r="208" spans="2:17" x14ac:dyDescent="0.3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30"/>
    </row>
    <row r="209" spans="2:17" x14ac:dyDescent="0.3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30"/>
    </row>
    <row r="210" spans="2:17" x14ac:dyDescent="0.3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30"/>
    </row>
    <row r="211" spans="2:17" x14ac:dyDescent="0.3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30"/>
    </row>
    <row r="212" spans="2:17" x14ac:dyDescent="0.3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30"/>
    </row>
    <row r="213" spans="2:17" x14ac:dyDescent="0.3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30"/>
    </row>
    <row r="214" spans="2:17" x14ac:dyDescent="0.3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30"/>
    </row>
    <row r="215" spans="2:17" x14ac:dyDescent="0.3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30"/>
    </row>
    <row r="216" spans="2:17" x14ac:dyDescent="0.3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30"/>
    </row>
    <row r="217" spans="2:17" x14ac:dyDescent="0.3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30"/>
    </row>
    <row r="218" spans="2:17" x14ac:dyDescent="0.3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30"/>
    </row>
    <row r="219" spans="2:17" x14ac:dyDescent="0.3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30"/>
    </row>
    <row r="220" spans="2:17" x14ac:dyDescent="0.3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30"/>
    </row>
    <row r="221" spans="2:17" x14ac:dyDescent="0.3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30"/>
    </row>
    <row r="222" spans="2:17" x14ac:dyDescent="0.3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30"/>
    </row>
    <row r="223" spans="2:17" x14ac:dyDescent="0.3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30"/>
    </row>
    <row r="224" spans="2:17" x14ac:dyDescent="0.3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30"/>
    </row>
    <row r="225" spans="2:17" x14ac:dyDescent="0.3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30"/>
    </row>
    <row r="226" spans="2:17" x14ac:dyDescent="0.3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30"/>
    </row>
    <row r="227" spans="2:17" x14ac:dyDescent="0.3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30"/>
    </row>
    <row r="228" spans="2:17" x14ac:dyDescent="0.3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30"/>
    </row>
    <row r="229" spans="2:17" x14ac:dyDescent="0.3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30"/>
    </row>
    <row r="230" spans="2:17" x14ac:dyDescent="0.3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30"/>
    </row>
    <row r="231" spans="2:17" x14ac:dyDescent="0.3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30"/>
    </row>
    <row r="232" spans="2:17" x14ac:dyDescent="0.3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30"/>
    </row>
    <row r="233" spans="2:17" x14ac:dyDescent="0.3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30"/>
    </row>
    <row r="234" spans="2:17" x14ac:dyDescent="0.3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30"/>
    </row>
    <row r="235" spans="2:17" x14ac:dyDescent="0.3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30"/>
    </row>
    <row r="236" spans="2:17" x14ac:dyDescent="0.3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30"/>
    </row>
    <row r="237" spans="2:17" x14ac:dyDescent="0.3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30"/>
    </row>
    <row r="238" spans="2:17" x14ac:dyDescent="0.3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30"/>
    </row>
    <row r="239" spans="2:17" x14ac:dyDescent="0.3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30"/>
    </row>
    <row r="240" spans="2:17" x14ac:dyDescent="0.3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30"/>
    </row>
    <row r="241" spans="2:17" x14ac:dyDescent="0.3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30"/>
    </row>
    <row r="242" spans="2:17" x14ac:dyDescent="0.3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30"/>
    </row>
    <row r="243" spans="2:17" x14ac:dyDescent="0.3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30"/>
    </row>
    <row r="244" spans="2:17" x14ac:dyDescent="0.3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30"/>
    </row>
    <row r="245" spans="2:17" x14ac:dyDescent="0.3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30"/>
    </row>
    <row r="246" spans="2:17" x14ac:dyDescent="0.3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30"/>
    </row>
    <row r="247" spans="2:17" x14ac:dyDescent="0.3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30"/>
    </row>
    <row r="248" spans="2:17" x14ac:dyDescent="0.3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30"/>
    </row>
    <row r="249" spans="2:17" x14ac:dyDescent="0.3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30"/>
    </row>
    <row r="250" spans="2:17" x14ac:dyDescent="0.3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30"/>
    </row>
    <row r="251" spans="2:17" x14ac:dyDescent="0.3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30"/>
    </row>
    <row r="252" spans="2:17" x14ac:dyDescent="0.3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30"/>
    </row>
    <row r="253" spans="2:17" x14ac:dyDescent="0.3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30"/>
    </row>
    <row r="254" spans="2:17" x14ac:dyDescent="0.3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30"/>
    </row>
    <row r="255" spans="2:17" x14ac:dyDescent="0.3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30"/>
    </row>
    <row r="256" spans="2:17" x14ac:dyDescent="0.3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30"/>
    </row>
    <row r="257" spans="2:17" x14ac:dyDescent="0.3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30"/>
    </row>
    <row r="258" spans="2:17" x14ac:dyDescent="0.3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30"/>
    </row>
    <row r="259" spans="2:17" x14ac:dyDescent="0.3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30"/>
    </row>
    <row r="260" spans="2:17" x14ac:dyDescent="0.3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30"/>
    </row>
    <row r="261" spans="2:17" x14ac:dyDescent="0.3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30"/>
    </row>
    <row r="262" spans="2:17" x14ac:dyDescent="0.3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30"/>
    </row>
    <row r="263" spans="2:17" x14ac:dyDescent="0.3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30"/>
    </row>
    <row r="264" spans="2:17" x14ac:dyDescent="0.3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30"/>
    </row>
    <row r="265" spans="2:17" x14ac:dyDescent="0.3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30"/>
    </row>
    <row r="266" spans="2:17" x14ac:dyDescent="0.3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30"/>
    </row>
    <row r="267" spans="2:17" x14ac:dyDescent="0.3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30"/>
    </row>
    <row r="268" spans="2:17" x14ac:dyDescent="0.3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30"/>
    </row>
    <row r="269" spans="2:17" x14ac:dyDescent="0.3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30"/>
    </row>
    <row r="270" spans="2:17" x14ac:dyDescent="0.3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30"/>
    </row>
    <row r="271" spans="2:17" x14ac:dyDescent="0.3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30"/>
    </row>
    <row r="272" spans="2:17" x14ac:dyDescent="0.3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30"/>
    </row>
    <row r="273" spans="2:17" x14ac:dyDescent="0.3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30"/>
    </row>
    <row r="274" spans="2:17" x14ac:dyDescent="0.3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30"/>
    </row>
    <row r="275" spans="2:17" x14ac:dyDescent="0.3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30"/>
    </row>
    <row r="276" spans="2:17" x14ac:dyDescent="0.3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30"/>
    </row>
    <row r="277" spans="2:17" x14ac:dyDescent="0.3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30"/>
    </row>
    <row r="278" spans="2:17" x14ac:dyDescent="0.3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30"/>
    </row>
    <row r="279" spans="2:17" x14ac:dyDescent="0.3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30"/>
    </row>
    <row r="280" spans="2:17" x14ac:dyDescent="0.3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30"/>
    </row>
    <row r="281" spans="2:17" x14ac:dyDescent="0.3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30"/>
    </row>
    <row r="282" spans="2:17" x14ac:dyDescent="0.3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30"/>
    </row>
    <row r="283" spans="2:17" x14ac:dyDescent="0.3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30"/>
    </row>
    <row r="284" spans="2:17" x14ac:dyDescent="0.3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30"/>
    </row>
    <row r="285" spans="2:17" x14ac:dyDescent="0.3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30"/>
    </row>
    <row r="286" spans="2:17" x14ac:dyDescent="0.3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30"/>
    </row>
    <row r="287" spans="2:17" x14ac:dyDescent="0.3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30"/>
    </row>
    <row r="288" spans="2:17" x14ac:dyDescent="0.3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30"/>
    </row>
    <row r="289" spans="2:17" x14ac:dyDescent="0.3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30"/>
    </row>
    <row r="290" spans="2:17" x14ac:dyDescent="0.3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30"/>
    </row>
    <row r="291" spans="2:17" x14ac:dyDescent="0.3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30"/>
    </row>
    <row r="292" spans="2:17" x14ac:dyDescent="0.3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30"/>
    </row>
    <row r="293" spans="2:17" x14ac:dyDescent="0.3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30"/>
    </row>
    <row r="294" spans="2:17" x14ac:dyDescent="0.3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30"/>
    </row>
    <row r="295" spans="2:17" x14ac:dyDescent="0.3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30"/>
    </row>
    <row r="296" spans="2:17" x14ac:dyDescent="0.3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30"/>
    </row>
    <row r="297" spans="2:17" x14ac:dyDescent="0.3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30"/>
    </row>
    <row r="298" spans="2:17" x14ac:dyDescent="0.3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30"/>
    </row>
    <row r="299" spans="2:17" x14ac:dyDescent="0.3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30"/>
    </row>
    <row r="300" spans="2:17" x14ac:dyDescent="0.3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30"/>
    </row>
    <row r="301" spans="2:17" x14ac:dyDescent="0.3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30"/>
    </row>
    <row r="302" spans="2:17" x14ac:dyDescent="0.3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30"/>
    </row>
    <row r="303" spans="2:17" x14ac:dyDescent="0.3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30"/>
    </row>
    <row r="304" spans="2:17" x14ac:dyDescent="0.3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30"/>
    </row>
    <row r="305" spans="2:17" x14ac:dyDescent="0.3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30"/>
    </row>
    <row r="306" spans="2:17" x14ac:dyDescent="0.3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30"/>
    </row>
    <row r="307" spans="2:17" x14ac:dyDescent="0.3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30"/>
    </row>
    <row r="308" spans="2:17" x14ac:dyDescent="0.3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30"/>
    </row>
    <row r="309" spans="2:17" x14ac:dyDescent="0.3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30"/>
    </row>
    <row r="310" spans="2:17" x14ac:dyDescent="0.3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30"/>
    </row>
    <row r="311" spans="2:17" x14ac:dyDescent="0.3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30"/>
    </row>
    <row r="312" spans="2:17" x14ac:dyDescent="0.3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30"/>
    </row>
    <row r="313" spans="2:17" x14ac:dyDescent="0.3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30"/>
    </row>
    <row r="314" spans="2:17" x14ac:dyDescent="0.3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30"/>
    </row>
    <row r="315" spans="2:17" x14ac:dyDescent="0.3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30"/>
    </row>
    <row r="316" spans="2:17" x14ac:dyDescent="0.3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30"/>
    </row>
    <row r="317" spans="2:17" x14ac:dyDescent="0.3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30"/>
    </row>
    <row r="318" spans="2:17" x14ac:dyDescent="0.3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30"/>
    </row>
    <row r="319" spans="2:17" x14ac:dyDescent="0.3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30"/>
    </row>
    <row r="320" spans="2:17" x14ac:dyDescent="0.3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30"/>
    </row>
    <row r="321" spans="2:17" x14ac:dyDescent="0.3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30"/>
    </row>
    <row r="322" spans="2:17" x14ac:dyDescent="0.3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30"/>
    </row>
    <row r="323" spans="2:17" x14ac:dyDescent="0.3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30"/>
    </row>
    <row r="324" spans="2:17" x14ac:dyDescent="0.3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30"/>
    </row>
    <row r="325" spans="2:17" x14ac:dyDescent="0.3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30"/>
    </row>
    <row r="326" spans="2:17" x14ac:dyDescent="0.3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30"/>
    </row>
    <row r="327" spans="2:17" x14ac:dyDescent="0.3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30"/>
    </row>
    <row r="328" spans="2:17" x14ac:dyDescent="0.3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30"/>
    </row>
    <row r="329" spans="2:17" x14ac:dyDescent="0.3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30"/>
    </row>
    <row r="330" spans="2:17" x14ac:dyDescent="0.3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30"/>
    </row>
    <row r="331" spans="2:17" x14ac:dyDescent="0.3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30"/>
    </row>
    <row r="332" spans="2:17" x14ac:dyDescent="0.3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30"/>
    </row>
    <row r="333" spans="2:17" x14ac:dyDescent="0.3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30"/>
    </row>
    <row r="334" spans="2:17" x14ac:dyDescent="0.3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30"/>
    </row>
    <row r="335" spans="2:17" x14ac:dyDescent="0.3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30"/>
    </row>
    <row r="336" spans="2:17" x14ac:dyDescent="0.3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30"/>
    </row>
    <row r="337" spans="2:17" x14ac:dyDescent="0.3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30"/>
    </row>
    <row r="338" spans="2:17" x14ac:dyDescent="0.3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30"/>
    </row>
    <row r="339" spans="2:17" x14ac:dyDescent="0.3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30"/>
    </row>
    <row r="340" spans="2:17" x14ac:dyDescent="0.3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30"/>
    </row>
    <row r="341" spans="2:17" x14ac:dyDescent="0.3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30"/>
    </row>
    <row r="342" spans="2:17" x14ac:dyDescent="0.3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30"/>
    </row>
    <row r="343" spans="2:17" x14ac:dyDescent="0.3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30"/>
    </row>
    <row r="344" spans="2:17" x14ac:dyDescent="0.3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30"/>
    </row>
    <row r="345" spans="2:17" x14ac:dyDescent="0.3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30"/>
    </row>
    <row r="346" spans="2:17" x14ac:dyDescent="0.3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30"/>
    </row>
    <row r="347" spans="2:17" x14ac:dyDescent="0.3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30"/>
    </row>
    <row r="348" spans="2:17" x14ac:dyDescent="0.3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30"/>
    </row>
    <row r="349" spans="2:17" x14ac:dyDescent="0.3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30"/>
    </row>
    <row r="350" spans="2:17" x14ac:dyDescent="0.3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30"/>
    </row>
    <row r="351" spans="2:17" x14ac:dyDescent="0.3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30"/>
    </row>
    <row r="352" spans="2:17" x14ac:dyDescent="0.3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30"/>
    </row>
    <row r="353" spans="2:17" x14ac:dyDescent="0.3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30"/>
    </row>
    <row r="354" spans="2:17" x14ac:dyDescent="0.3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30"/>
    </row>
    <row r="355" spans="2:17" x14ac:dyDescent="0.3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30"/>
    </row>
    <row r="356" spans="2:17" x14ac:dyDescent="0.3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30"/>
    </row>
    <row r="357" spans="2:17" x14ac:dyDescent="0.3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30"/>
    </row>
    <row r="358" spans="2:17" x14ac:dyDescent="0.3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30"/>
    </row>
    <row r="359" spans="2:17" x14ac:dyDescent="0.3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30"/>
    </row>
    <row r="360" spans="2:17" x14ac:dyDescent="0.3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30"/>
    </row>
    <row r="361" spans="2:17" x14ac:dyDescent="0.3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30"/>
    </row>
    <row r="362" spans="2:17" x14ac:dyDescent="0.3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30"/>
    </row>
    <row r="363" spans="2:17" x14ac:dyDescent="0.3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30"/>
    </row>
    <row r="364" spans="2:17" x14ac:dyDescent="0.3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30"/>
    </row>
    <row r="365" spans="2:17" x14ac:dyDescent="0.3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30"/>
    </row>
    <row r="366" spans="2:17" x14ac:dyDescent="0.3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30"/>
    </row>
    <row r="367" spans="2:17" x14ac:dyDescent="0.3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30"/>
    </row>
    <row r="368" spans="2:17" x14ac:dyDescent="0.3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30"/>
    </row>
    <row r="369" spans="2:17" x14ac:dyDescent="0.3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30"/>
    </row>
    <row r="370" spans="2:17" x14ac:dyDescent="0.3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30"/>
    </row>
    <row r="371" spans="2:17" x14ac:dyDescent="0.3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30"/>
    </row>
    <row r="372" spans="2:17" x14ac:dyDescent="0.3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30"/>
    </row>
    <row r="373" spans="2:17" x14ac:dyDescent="0.3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30"/>
    </row>
    <row r="374" spans="2:17" x14ac:dyDescent="0.3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30"/>
    </row>
    <row r="375" spans="2:17" x14ac:dyDescent="0.3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30"/>
    </row>
    <row r="376" spans="2:17" x14ac:dyDescent="0.3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30"/>
    </row>
    <row r="377" spans="2:17" x14ac:dyDescent="0.3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30"/>
    </row>
    <row r="378" spans="2:17" x14ac:dyDescent="0.3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30"/>
    </row>
    <row r="379" spans="2:17" x14ac:dyDescent="0.3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30"/>
    </row>
    <row r="380" spans="2:17" x14ac:dyDescent="0.3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30"/>
    </row>
    <row r="381" spans="2:17" x14ac:dyDescent="0.3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30"/>
    </row>
    <row r="382" spans="2:17" x14ac:dyDescent="0.3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30"/>
    </row>
    <row r="383" spans="2:17" x14ac:dyDescent="0.3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30"/>
    </row>
    <row r="384" spans="2:17" x14ac:dyDescent="0.3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30"/>
    </row>
    <row r="385" spans="2:17" x14ac:dyDescent="0.3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30"/>
    </row>
    <row r="386" spans="2:17" x14ac:dyDescent="0.3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30"/>
    </row>
    <row r="387" spans="2:17" x14ac:dyDescent="0.3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30"/>
    </row>
    <row r="388" spans="2:17" x14ac:dyDescent="0.3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30"/>
    </row>
    <row r="389" spans="2:17" x14ac:dyDescent="0.3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30"/>
    </row>
    <row r="390" spans="2:17" x14ac:dyDescent="0.3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30"/>
    </row>
    <row r="391" spans="2:17" x14ac:dyDescent="0.3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30"/>
    </row>
    <row r="392" spans="2:17" x14ac:dyDescent="0.3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30"/>
    </row>
    <row r="393" spans="2:17" x14ac:dyDescent="0.3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30"/>
    </row>
    <row r="394" spans="2:17" x14ac:dyDescent="0.3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30"/>
    </row>
    <row r="395" spans="2:17" x14ac:dyDescent="0.3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30"/>
    </row>
    <row r="396" spans="2:17" x14ac:dyDescent="0.3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30"/>
    </row>
    <row r="397" spans="2:17" x14ac:dyDescent="0.3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30"/>
    </row>
    <row r="398" spans="2:17" x14ac:dyDescent="0.3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30"/>
    </row>
    <row r="399" spans="2:17" x14ac:dyDescent="0.3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30"/>
    </row>
    <row r="400" spans="2:17" x14ac:dyDescent="0.3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30"/>
    </row>
    <row r="401" spans="2:17" x14ac:dyDescent="0.3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30"/>
    </row>
    <row r="402" spans="2:17" x14ac:dyDescent="0.3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30"/>
    </row>
    <row r="403" spans="2:17" x14ac:dyDescent="0.3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30"/>
    </row>
    <row r="404" spans="2:17" x14ac:dyDescent="0.3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30"/>
    </row>
    <row r="405" spans="2:17" x14ac:dyDescent="0.3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30"/>
    </row>
    <row r="406" spans="2:17" x14ac:dyDescent="0.3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30"/>
    </row>
    <row r="407" spans="2:17" x14ac:dyDescent="0.3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30"/>
    </row>
    <row r="408" spans="2:17" x14ac:dyDescent="0.3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30"/>
    </row>
    <row r="409" spans="2:17" x14ac:dyDescent="0.3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30"/>
    </row>
    <row r="410" spans="2:17" x14ac:dyDescent="0.3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30"/>
    </row>
    <row r="411" spans="2:17" x14ac:dyDescent="0.3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30"/>
    </row>
    <row r="412" spans="2:17" x14ac:dyDescent="0.3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30"/>
    </row>
    <row r="413" spans="2:17" x14ac:dyDescent="0.3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30"/>
    </row>
    <row r="414" spans="2:17" x14ac:dyDescent="0.3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30"/>
    </row>
    <row r="415" spans="2:17" x14ac:dyDescent="0.3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30"/>
    </row>
    <row r="416" spans="2:17" x14ac:dyDescent="0.3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30"/>
    </row>
    <row r="417" spans="2:17" x14ac:dyDescent="0.3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30"/>
    </row>
    <row r="418" spans="2:17" x14ac:dyDescent="0.3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30"/>
    </row>
    <row r="419" spans="2:17" x14ac:dyDescent="0.3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30"/>
    </row>
    <row r="420" spans="2:17" x14ac:dyDescent="0.3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30"/>
    </row>
    <row r="421" spans="2:17" x14ac:dyDescent="0.3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30"/>
    </row>
    <row r="422" spans="2:17" x14ac:dyDescent="0.3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30"/>
    </row>
    <row r="423" spans="2:17" x14ac:dyDescent="0.3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30"/>
    </row>
    <row r="424" spans="2:17" x14ac:dyDescent="0.3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30"/>
    </row>
    <row r="425" spans="2:17" x14ac:dyDescent="0.3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30"/>
    </row>
    <row r="426" spans="2:17" x14ac:dyDescent="0.3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30"/>
    </row>
    <row r="427" spans="2:17" x14ac:dyDescent="0.3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30"/>
    </row>
    <row r="428" spans="2:17" x14ac:dyDescent="0.3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30"/>
    </row>
    <row r="429" spans="2:17" x14ac:dyDescent="0.3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30"/>
    </row>
    <row r="430" spans="2:17" x14ac:dyDescent="0.3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30"/>
    </row>
    <row r="431" spans="2:17" x14ac:dyDescent="0.3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30"/>
    </row>
    <row r="432" spans="2:17" x14ac:dyDescent="0.3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30"/>
    </row>
    <row r="433" spans="2:17" x14ac:dyDescent="0.3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30"/>
    </row>
    <row r="434" spans="2:17" x14ac:dyDescent="0.3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30"/>
    </row>
    <row r="435" spans="2:17" x14ac:dyDescent="0.3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30"/>
    </row>
    <row r="436" spans="2:17" x14ac:dyDescent="0.3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30"/>
    </row>
    <row r="437" spans="2:17" x14ac:dyDescent="0.3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30"/>
    </row>
    <row r="438" spans="2:17" x14ac:dyDescent="0.3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30"/>
    </row>
    <row r="439" spans="2:17" x14ac:dyDescent="0.3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30"/>
    </row>
    <row r="440" spans="2:17" x14ac:dyDescent="0.3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30"/>
    </row>
    <row r="441" spans="2:17" x14ac:dyDescent="0.3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30"/>
    </row>
    <row r="442" spans="2:17" x14ac:dyDescent="0.3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30"/>
    </row>
    <row r="443" spans="2:17" x14ac:dyDescent="0.3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30"/>
    </row>
    <row r="444" spans="2:17" x14ac:dyDescent="0.3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30"/>
    </row>
    <row r="445" spans="2:17" x14ac:dyDescent="0.3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30"/>
    </row>
    <row r="446" spans="2:17" x14ac:dyDescent="0.3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30"/>
    </row>
    <row r="447" spans="2:17" x14ac:dyDescent="0.3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30"/>
    </row>
    <row r="448" spans="2:17" x14ac:dyDescent="0.3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30"/>
    </row>
    <row r="449" spans="2:17" x14ac:dyDescent="0.3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30"/>
    </row>
    <row r="450" spans="2:17" x14ac:dyDescent="0.3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30"/>
    </row>
    <row r="451" spans="2:17" x14ac:dyDescent="0.3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30"/>
    </row>
    <row r="452" spans="2:17" x14ac:dyDescent="0.3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30"/>
    </row>
    <row r="453" spans="2:17" x14ac:dyDescent="0.3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30"/>
    </row>
    <row r="454" spans="2:17" x14ac:dyDescent="0.3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30"/>
    </row>
    <row r="455" spans="2:17" x14ac:dyDescent="0.3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30"/>
    </row>
    <row r="456" spans="2:17" x14ac:dyDescent="0.3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30"/>
    </row>
    <row r="457" spans="2:17" x14ac:dyDescent="0.3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30"/>
    </row>
    <row r="458" spans="2:17" x14ac:dyDescent="0.3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30"/>
    </row>
    <row r="459" spans="2:17" x14ac:dyDescent="0.3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30"/>
    </row>
    <row r="460" spans="2:17" x14ac:dyDescent="0.3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30"/>
    </row>
    <row r="461" spans="2:17" x14ac:dyDescent="0.3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30"/>
    </row>
    <row r="462" spans="2:17" x14ac:dyDescent="0.3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30"/>
    </row>
    <row r="463" spans="2:17" x14ac:dyDescent="0.3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30"/>
    </row>
    <row r="464" spans="2:17" x14ac:dyDescent="0.3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30"/>
    </row>
    <row r="465" spans="2:17" x14ac:dyDescent="0.3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30"/>
    </row>
    <row r="466" spans="2:17" x14ac:dyDescent="0.3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30"/>
    </row>
    <row r="467" spans="2:17" x14ac:dyDescent="0.3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30"/>
    </row>
    <row r="468" spans="2:17" x14ac:dyDescent="0.3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30"/>
    </row>
    <row r="469" spans="2:17" x14ac:dyDescent="0.3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30"/>
    </row>
    <row r="470" spans="2:17" x14ac:dyDescent="0.3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30"/>
    </row>
    <row r="471" spans="2:17" x14ac:dyDescent="0.3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30"/>
    </row>
    <row r="472" spans="2:17" x14ac:dyDescent="0.3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30"/>
    </row>
    <row r="473" spans="2:17" x14ac:dyDescent="0.3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30"/>
    </row>
    <row r="474" spans="2:17" x14ac:dyDescent="0.3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30"/>
    </row>
    <row r="475" spans="2:17" x14ac:dyDescent="0.3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30"/>
    </row>
    <row r="476" spans="2:17" x14ac:dyDescent="0.3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30"/>
    </row>
    <row r="477" spans="2:17" x14ac:dyDescent="0.3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30"/>
    </row>
    <row r="478" spans="2:17" x14ac:dyDescent="0.3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30"/>
    </row>
    <row r="479" spans="2:17" x14ac:dyDescent="0.3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30"/>
    </row>
    <row r="480" spans="2:17" x14ac:dyDescent="0.3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30"/>
    </row>
    <row r="481" spans="2:17" x14ac:dyDescent="0.3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30"/>
    </row>
    <row r="482" spans="2:17" x14ac:dyDescent="0.3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30"/>
    </row>
    <row r="483" spans="2:17" x14ac:dyDescent="0.3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30"/>
    </row>
    <row r="484" spans="2:17" x14ac:dyDescent="0.3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30"/>
    </row>
    <row r="485" spans="2:17" x14ac:dyDescent="0.3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30"/>
    </row>
    <row r="486" spans="2:17" x14ac:dyDescent="0.3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30"/>
    </row>
    <row r="487" spans="2:17" x14ac:dyDescent="0.3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30"/>
    </row>
    <row r="488" spans="2:17" x14ac:dyDescent="0.3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30"/>
    </row>
    <row r="489" spans="2:17" x14ac:dyDescent="0.3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30"/>
    </row>
    <row r="490" spans="2:17" x14ac:dyDescent="0.3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30"/>
    </row>
    <row r="491" spans="2:17" x14ac:dyDescent="0.3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30"/>
    </row>
    <row r="492" spans="2:17" x14ac:dyDescent="0.3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30"/>
    </row>
    <row r="493" spans="2:17" x14ac:dyDescent="0.3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30"/>
    </row>
    <row r="494" spans="2:17" x14ac:dyDescent="0.3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30"/>
    </row>
    <row r="495" spans="2:17" x14ac:dyDescent="0.3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30"/>
    </row>
    <row r="496" spans="2:17" x14ac:dyDescent="0.3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30"/>
    </row>
    <row r="497" spans="2:17" x14ac:dyDescent="0.3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30"/>
    </row>
    <row r="498" spans="2:17" x14ac:dyDescent="0.3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30"/>
    </row>
    <row r="499" spans="2:17" x14ac:dyDescent="0.3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30"/>
    </row>
    <row r="500" spans="2:17" x14ac:dyDescent="0.3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30"/>
    </row>
    <row r="501" spans="2:17" x14ac:dyDescent="0.3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30"/>
    </row>
    <row r="502" spans="2:17" x14ac:dyDescent="0.3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30"/>
    </row>
    <row r="503" spans="2:17" x14ac:dyDescent="0.3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30"/>
    </row>
    <row r="504" spans="2:17" x14ac:dyDescent="0.3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30"/>
    </row>
    <row r="505" spans="2:17" x14ac:dyDescent="0.3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30"/>
    </row>
    <row r="506" spans="2:17" x14ac:dyDescent="0.3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30"/>
    </row>
    <row r="507" spans="2:17" x14ac:dyDescent="0.3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30"/>
    </row>
    <row r="508" spans="2:17" x14ac:dyDescent="0.3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30"/>
    </row>
    <row r="509" spans="2:17" x14ac:dyDescent="0.3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30"/>
    </row>
    <row r="510" spans="2:17" x14ac:dyDescent="0.3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30"/>
    </row>
    <row r="511" spans="2:17" x14ac:dyDescent="0.3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30"/>
    </row>
    <row r="512" spans="2:17" x14ac:dyDescent="0.3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30"/>
    </row>
    <row r="513" spans="2:17" x14ac:dyDescent="0.3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30"/>
    </row>
    <row r="514" spans="2:17" x14ac:dyDescent="0.3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30"/>
    </row>
    <row r="515" spans="2:17" x14ac:dyDescent="0.3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30"/>
    </row>
    <row r="516" spans="2:17" x14ac:dyDescent="0.3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30"/>
    </row>
    <row r="517" spans="2:17" x14ac:dyDescent="0.3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30"/>
    </row>
    <row r="518" spans="2:17" x14ac:dyDescent="0.3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30"/>
    </row>
    <row r="519" spans="2:17" x14ac:dyDescent="0.3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30"/>
    </row>
    <row r="520" spans="2:17" x14ac:dyDescent="0.3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30"/>
    </row>
    <row r="521" spans="2:17" x14ac:dyDescent="0.3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30"/>
    </row>
    <row r="522" spans="2:17" x14ac:dyDescent="0.3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30"/>
    </row>
    <row r="523" spans="2:17" x14ac:dyDescent="0.3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30"/>
    </row>
    <row r="524" spans="2:17" x14ac:dyDescent="0.3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30"/>
    </row>
    <row r="525" spans="2:17" x14ac:dyDescent="0.3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30"/>
    </row>
    <row r="526" spans="2:17" x14ac:dyDescent="0.3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30"/>
    </row>
    <row r="527" spans="2:17" x14ac:dyDescent="0.3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30"/>
    </row>
    <row r="528" spans="2:17" x14ac:dyDescent="0.3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30"/>
    </row>
    <row r="529" spans="2:17" x14ac:dyDescent="0.3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30"/>
    </row>
    <row r="530" spans="2:17" x14ac:dyDescent="0.3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30"/>
    </row>
    <row r="531" spans="2:17" x14ac:dyDescent="0.3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30"/>
    </row>
    <row r="532" spans="2:17" x14ac:dyDescent="0.3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30"/>
    </row>
    <row r="533" spans="2:17" x14ac:dyDescent="0.3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30"/>
    </row>
    <row r="534" spans="2:17" x14ac:dyDescent="0.3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30"/>
    </row>
    <row r="535" spans="2:17" x14ac:dyDescent="0.3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30"/>
    </row>
    <row r="536" spans="2:17" x14ac:dyDescent="0.3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30"/>
    </row>
    <row r="537" spans="2:17" x14ac:dyDescent="0.3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30"/>
    </row>
    <row r="538" spans="2:17" x14ac:dyDescent="0.3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30"/>
    </row>
    <row r="539" spans="2:17" x14ac:dyDescent="0.3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30"/>
    </row>
    <row r="540" spans="2:17" x14ac:dyDescent="0.3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30"/>
    </row>
    <row r="541" spans="2:17" x14ac:dyDescent="0.3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30"/>
    </row>
    <row r="542" spans="2:17" x14ac:dyDescent="0.3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30"/>
    </row>
    <row r="543" spans="2:17" x14ac:dyDescent="0.3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30"/>
    </row>
    <row r="544" spans="2:17" x14ac:dyDescent="0.3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30"/>
    </row>
    <row r="545" spans="2:17" x14ac:dyDescent="0.3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30"/>
    </row>
    <row r="546" spans="2:17" x14ac:dyDescent="0.3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30"/>
    </row>
    <row r="547" spans="2:17" x14ac:dyDescent="0.3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30"/>
    </row>
    <row r="548" spans="2:17" x14ac:dyDescent="0.3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30"/>
    </row>
    <row r="549" spans="2:17" x14ac:dyDescent="0.3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30"/>
    </row>
    <row r="550" spans="2:17" x14ac:dyDescent="0.3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30"/>
    </row>
    <row r="551" spans="2:17" x14ac:dyDescent="0.3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30"/>
    </row>
    <row r="552" spans="2:17" x14ac:dyDescent="0.3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30"/>
    </row>
    <row r="553" spans="2:17" x14ac:dyDescent="0.3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30"/>
    </row>
    <row r="554" spans="2:17" x14ac:dyDescent="0.3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30"/>
    </row>
    <row r="555" spans="2:17" x14ac:dyDescent="0.3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30"/>
    </row>
    <row r="556" spans="2:17" x14ac:dyDescent="0.3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30"/>
    </row>
    <row r="557" spans="2:17" x14ac:dyDescent="0.3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30"/>
    </row>
    <row r="558" spans="2:17" x14ac:dyDescent="0.3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30"/>
    </row>
    <row r="559" spans="2:17" x14ac:dyDescent="0.3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30"/>
    </row>
    <row r="560" spans="2:17" x14ac:dyDescent="0.3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30"/>
    </row>
    <row r="561" spans="2:17" x14ac:dyDescent="0.3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30"/>
    </row>
    <row r="562" spans="2:17" x14ac:dyDescent="0.3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30"/>
    </row>
    <row r="563" spans="2:17" x14ac:dyDescent="0.3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30"/>
    </row>
    <row r="564" spans="2:17" x14ac:dyDescent="0.3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30"/>
    </row>
    <row r="565" spans="2:17" x14ac:dyDescent="0.3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30"/>
    </row>
    <row r="566" spans="2:17" x14ac:dyDescent="0.3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30"/>
    </row>
    <row r="567" spans="2:17" x14ac:dyDescent="0.3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30"/>
    </row>
    <row r="568" spans="2:17" x14ac:dyDescent="0.3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30"/>
    </row>
    <row r="569" spans="2:17" x14ac:dyDescent="0.3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30"/>
    </row>
    <row r="570" spans="2:17" x14ac:dyDescent="0.3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30"/>
    </row>
    <row r="571" spans="2:17" x14ac:dyDescent="0.3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30"/>
    </row>
    <row r="572" spans="2:17" x14ac:dyDescent="0.3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30"/>
    </row>
    <row r="573" spans="2:17" x14ac:dyDescent="0.3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30"/>
    </row>
    <row r="574" spans="2:17" x14ac:dyDescent="0.3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30"/>
    </row>
    <row r="575" spans="2:17" x14ac:dyDescent="0.3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30"/>
    </row>
    <row r="576" spans="2:17" x14ac:dyDescent="0.3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30"/>
    </row>
    <row r="577" spans="2:17" x14ac:dyDescent="0.3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30"/>
    </row>
    <row r="578" spans="2:17" x14ac:dyDescent="0.3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30"/>
    </row>
    <row r="579" spans="2:17" x14ac:dyDescent="0.3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30"/>
    </row>
    <row r="580" spans="2:17" x14ac:dyDescent="0.3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30"/>
    </row>
    <row r="581" spans="2:17" x14ac:dyDescent="0.3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30"/>
    </row>
    <row r="582" spans="2:17" x14ac:dyDescent="0.3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30"/>
    </row>
    <row r="583" spans="2:17" x14ac:dyDescent="0.3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30"/>
    </row>
    <row r="584" spans="2:17" x14ac:dyDescent="0.3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30"/>
    </row>
    <row r="585" spans="2:17" x14ac:dyDescent="0.3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30"/>
    </row>
    <row r="586" spans="2:17" x14ac:dyDescent="0.3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30"/>
    </row>
    <row r="587" spans="2:17" x14ac:dyDescent="0.3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30"/>
    </row>
    <row r="588" spans="2:17" x14ac:dyDescent="0.3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30"/>
    </row>
    <row r="589" spans="2:17" x14ac:dyDescent="0.3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30"/>
    </row>
    <row r="590" spans="2:17" x14ac:dyDescent="0.3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30"/>
    </row>
    <row r="591" spans="2:17" x14ac:dyDescent="0.3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30"/>
    </row>
    <row r="592" spans="2:17" x14ac:dyDescent="0.3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30"/>
    </row>
    <row r="593" spans="2:17" x14ac:dyDescent="0.3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30"/>
    </row>
    <row r="594" spans="2:17" x14ac:dyDescent="0.3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30"/>
    </row>
    <row r="595" spans="2:17" x14ac:dyDescent="0.3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30"/>
    </row>
    <row r="596" spans="2:17" x14ac:dyDescent="0.3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30"/>
    </row>
    <row r="597" spans="2:17" x14ac:dyDescent="0.3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30"/>
    </row>
    <row r="598" spans="2:17" x14ac:dyDescent="0.3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30"/>
    </row>
    <row r="599" spans="2:17" x14ac:dyDescent="0.3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30"/>
    </row>
    <row r="600" spans="2:17" x14ac:dyDescent="0.3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30"/>
    </row>
    <row r="601" spans="2:17" x14ac:dyDescent="0.3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30"/>
    </row>
    <row r="602" spans="2:17" x14ac:dyDescent="0.3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30"/>
    </row>
    <row r="603" spans="2:17" x14ac:dyDescent="0.3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30"/>
    </row>
    <row r="604" spans="2:17" x14ac:dyDescent="0.3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30"/>
    </row>
    <row r="605" spans="2:17" x14ac:dyDescent="0.3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30"/>
    </row>
    <row r="606" spans="2:17" x14ac:dyDescent="0.3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30"/>
    </row>
    <row r="607" spans="2:17" x14ac:dyDescent="0.3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30"/>
    </row>
    <row r="608" spans="2:17" x14ac:dyDescent="0.3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30"/>
    </row>
    <row r="609" spans="2:17" x14ac:dyDescent="0.3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30"/>
    </row>
    <row r="610" spans="2:17" x14ac:dyDescent="0.3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30"/>
    </row>
    <row r="611" spans="2:17" x14ac:dyDescent="0.3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30"/>
    </row>
    <row r="612" spans="2:17" x14ac:dyDescent="0.3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30"/>
    </row>
    <row r="613" spans="2:17" x14ac:dyDescent="0.3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30"/>
    </row>
    <row r="614" spans="2:17" x14ac:dyDescent="0.3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30"/>
    </row>
    <row r="615" spans="2:17" x14ac:dyDescent="0.3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30"/>
    </row>
    <row r="616" spans="2:17" x14ac:dyDescent="0.3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30"/>
    </row>
    <row r="617" spans="2:17" x14ac:dyDescent="0.3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30"/>
    </row>
    <row r="618" spans="2:17" x14ac:dyDescent="0.3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30"/>
    </row>
    <row r="619" spans="2:17" x14ac:dyDescent="0.3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30"/>
    </row>
    <row r="620" spans="2:17" x14ac:dyDescent="0.3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30"/>
    </row>
    <row r="621" spans="2:17" x14ac:dyDescent="0.3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30"/>
    </row>
    <row r="622" spans="2:17" x14ac:dyDescent="0.3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30"/>
    </row>
    <row r="623" spans="2:17" x14ac:dyDescent="0.3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30"/>
    </row>
    <row r="624" spans="2:17" x14ac:dyDescent="0.3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30"/>
    </row>
    <row r="625" spans="2:17" x14ac:dyDescent="0.3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30"/>
    </row>
    <row r="626" spans="2:17" x14ac:dyDescent="0.3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30"/>
    </row>
    <row r="627" spans="2:17" x14ac:dyDescent="0.3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30"/>
    </row>
    <row r="628" spans="2:17" x14ac:dyDescent="0.3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30"/>
    </row>
    <row r="629" spans="2:17" x14ac:dyDescent="0.3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30"/>
    </row>
    <row r="630" spans="2:17" x14ac:dyDescent="0.3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30"/>
    </row>
    <row r="631" spans="2:17" x14ac:dyDescent="0.3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30"/>
    </row>
    <row r="632" spans="2:17" x14ac:dyDescent="0.3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30"/>
    </row>
    <row r="633" spans="2:17" x14ac:dyDescent="0.3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30"/>
    </row>
    <row r="634" spans="2:17" x14ac:dyDescent="0.3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30"/>
    </row>
    <row r="635" spans="2:17" x14ac:dyDescent="0.3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30"/>
    </row>
    <row r="636" spans="2:17" x14ac:dyDescent="0.3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30"/>
    </row>
    <row r="637" spans="2:17" x14ac:dyDescent="0.3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30"/>
    </row>
    <row r="638" spans="2:17" x14ac:dyDescent="0.3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30"/>
    </row>
    <row r="639" spans="2:17" x14ac:dyDescent="0.3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30"/>
    </row>
    <row r="640" spans="2:17" x14ac:dyDescent="0.3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30"/>
    </row>
    <row r="641" spans="2:17" x14ac:dyDescent="0.3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30"/>
    </row>
    <row r="642" spans="2:17" x14ac:dyDescent="0.3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30"/>
    </row>
    <row r="643" spans="2:17" x14ac:dyDescent="0.3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30"/>
    </row>
    <row r="644" spans="2:17" x14ac:dyDescent="0.3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30"/>
    </row>
    <row r="645" spans="2:17" x14ac:dyDescent="0.3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30"/>
    </row>
    <row r="646" spans="2:17" x14ac:dyDescent="0.3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30"/>
    </row>
    <row r="647" spans="2:17" x14ac:dyDescent="0.3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30"/>
    </row>
    <row r="648" spans="2:17" x14ac:dyDescent="0.3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30"/>
    </row>
    <row r="649" spans="2:17" x14ac:dyDescent="0.3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30"/>
    </row>
    <row r="650" spans="2:17" x14ac:dyDescent="0.3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30"/>
    </row>
    <row r="651" spans="2:17" x14ac:dyDescent="0.3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30"/>
    </row>
    <row r="652" spans="2:17" x14ac:dyDescent="0.3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30"/>
    </row>
    <row r="653" spans="2:17" x14ac:dyDescent="0.3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30"/>
    </row>
    <row r="654" spans="2:17" x14ac:dyDescent="0.3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30"/>
    </row>
    <row r="655" spans="2:17" x14ac:dyDescent="0.3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30"/>
    </row>
    <row r="656" spans="2:17" x14ac:dyDescent="0.3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30"/>
    </row>
    <row r="657" spans="2:17" x14ac:dyDescent="0.3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30"/>
    </row>
    <row r="658" spans="2:17" x14ac:dyDescent="0.3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30"/>
    </row>
    <row r="659" spans="2:17" x14ac:dyDescent="0.3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30"/>
    </row>
    <row r="660" spans="2:17" x14ac:dyDescent="0.3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30"/>
    </row>
    <row r="661" spans="2:17" x14ac:dyDescent="0.3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30"/>
    </row>
    <row r="662" spans="2:17" x14ac:dyDescent="0.3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30"/>
    </row>
    <row r="663" spans="2:17" x14ac:dyDescent="0.3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30"/>
    </row>
    <row r="664" spans="2:17" x14ac:dyDescent="0.3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30"/>
    </row>
    <row r="665" spans="2:17" x14ac:dyDescent="0.3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30"/>
    </row>
    <row r="666" spans="2:17" x14ac:dyDescent="0.3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30"/>
    </row>
    <row r="667" spans="2:17" x14ac:dyDescent="0.3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30"/>
    </row>
    <row r="668" spans="2:17" x14ac:dyDescent="0.3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30"/>
    </row>
    <row r="669" spans="2:17" x14ac:dyDescent="0.3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30"/>
    </row>
    <row r="670" spans="2:17" x14ac:dyDescent="0.3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30"/>
    </row>
    <row r="671" spans="2:17" x14ac:dyDescent="0.3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30"/>
    </row>
    <row r="672" spans="2:17" x14ac:dyDescent="0.3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30"/>
    </row>
    <row r="673" spans="2:17" x14ac:dyDescent="0.3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30"/>
    </row>
    <row r="674" spans="2:17" x14ac:dyDescent="0.3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30"/>
    </row>
    <row r="675" spans="2:17" x14ac:dyDescent="0.3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30"/>
    </row>
    <row r="676" spans="2:17" x14ac:dyDescent="0.3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30"/>
    </row>
    <row r="677" spans="2:17" x14ac:dyDescent="0.3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30"/>
    </row>
    <row r="678" spans="2:17" x14ac:dyDescent="0.3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30"/>
    </row>
    <row r="679" spans="2:17" x14ac:dyDescent="0.3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30"/>
    </row>
    <row r="680" spans="2:17" x14ac:dyDescent="0.3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30"/>
    </row>
    <row r="681" spans="2:17" x14ac:dyDescent="0.3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30"/>
    </row>
    <row r="682" spans="2:17" x14ac:dyDescent="0.3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30"/>
    </row>
    <row r="683" spans="2:17" x14ac:dyDescent="0.3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30"/>
    </row>
    <row r="684" spans="2:17" x14ac:dyDescent="0.3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30"/>
    </row>
    <row r="685" spans="2:17" x14ac:dyDescent="0.3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30"/>
    </row>
    <row r="686" spans="2:17" x14ac:dyDescent="0.3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30"/>
    </row>
    <row r="687" spans="2:17" x14ac:dyDescent="0.3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30"/>
    </row>
    <row r="688" spans="2:17" x14ac:dyDescent="0.3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30"/>
    </row>
    <row r="689" spans="2:17" x14ac:dyDescent="0.3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30"/>
    </row>
    <row r="690" spans="2:17" x14ac:dyDescent="0.3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30"/>
    </row>
    <row r="691" spans="2:17" x14ac:dyDescent="0.3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30"/>
    </row>
    <row r="692" spans="2:17" x14ac:dyDescent="0.3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30"/>
    </row>
    <row r="693" spans="2:17" x14ac:dyDescent="0.3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30"/>
    </row>
    <row r="694" spans="2:17" x14ac:dyDescent="0.3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30"/>
    </row>
    <row r="695" spans="2:17" x14ac:dyDescent="0.3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30"/>
    </row>
    <row r="696" spans="2:17" x14ac:dyDescent="0.3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30"/>
    </row>
    <row r="697" spans="2:17" x14ac:dyDescent="0.3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30"/>
    </row>
    <row r="698" spans="2:17" x14ac:dyDescent="0.3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30"/>
    </row>
    <row r="699" spans="2:17" x14ac:dyDescent="0.3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30"/>
    </row>
    <row r="700" spans="2:17" x14ac:dyDescent="0.3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30"/>
    </row>
    <row r="701" spans="2:17" x14ac:dyDescent="0.3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30"/>
    </row>
    <row r="702" spans="2:17" x14ac:dyDescent="0.3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30"/>
    </row>
    <row r="703" spans="2:17" x14ac:dyDescent="0.3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30"/>
    </row>
    <row r="704" spans="2:17" x14ac:dyDescent="0.3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30"/>
    </row>
    <row r="705" spans="2:17" x14ac:dyDescent="0.3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30"/>
    </row>
    <row r="706" spans="2:17" x14ac:dyDescent="0.3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30"/>
    </row>
    <row r="707" spans="2:17" x14ac:dyDescent="0.3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30"/>
    </row>
    <row r="708" spans="2:17" x14ac:dyDescent="0.3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30"/>
    </row>
    <row r="709" spans="2:17" x14ac:dyDescent="0.3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30"/>
    </row>
    <row r="710" spans="2:17" x14ac:dyDescent="0.3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30"/>
    </row>
    <row r="711" spans="2:17" x14ac:dyDescent="0.3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30"/>
    </row>
    <row r="712" spans="2:17" x14ac:dyDescent="0.3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30"/>
    </row>
    <row r="713" spans="2:17" x14ac:dyDescent="0.3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30"/>
    </row>
    <row r="714" spans="2:17" x14ac:dyDescent="0.3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30"/>
    </row>
    <row r="715" spans="2:17" x14ac:dyDescent="0.3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30"/>
    </row>
    <row r="716" spans="2:17" x14ac:dyDescent="0.3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30"/>
    </row>
    <row r="717" spans="2:17" x14ac:dyDescent="0.3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30"/>
    </row>
    <row r="718" spans="2:17" x14ac:dyDescent="0.3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30"/>
    </row>
    <row r="719" spans="2:17" x14ac:dyDescent="0.3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30"/>
    </row>
    <row r="720" spans="2:17" x14ac:dyDescent="0.3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30"/>
    </row>
    <row r="721" spans="2:17" x14ac:dyDescent="0.3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30"/>
    </row>
    <row r="722" spans="2:17" x14ac:dyDescent="0.3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30"/>
    </row>
    <row r="723" spans="2:17" x14ac:dyDescent="0.3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30"/>
    </row>
    <row r="724" spans="2:17" x14ac:dyDescent="0.3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30"/>
    </row>
    <row r="725" spans="2:17" x14ac:dyDescent="0.3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30"/>
    </row>
    <row r="726" spans="2:17" x14ac:dyDescent="0.3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30"/>
    </row>
    <row r="727" spans="2:17" x14ac:dyDescent="0.3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30"/>
    </row>
    <row r="728" spans="2:17" x14ac:dyDescent="0.3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30"/>
    </row>
    <row r="729" spans="2:17" x14ac:dyDescent="0.3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30"/>
    </row>
    <row r="730" spans="2:17" x14ac:dyDescent="0.3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30"/>
    </row>
    <row r="731" spans="2:17" x14ac:dyDescent="0.3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30"/>
    </row>
    <row r="732" spans="2:17" x14ac:dyDescent="0.3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30"/>
    </row>
    <row r="733" spans="2:17" x14ac:dyDescent="0.3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30"/>
    </row>
    <row r="734" spans="2:17" x14ac:dyDescent="0.3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30"/>
    </row>
    <row r="735" spans="2:17" x14ac:dyDescent="0.3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30"/>
    </row>
    <row r="736" spans="2:17" x14ac:dyDescent="0.3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30"/>
    </row>
    <row r="737" spans="2:17" x14ac:dyDescent="0.3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30"/>
    </row>
    <row r="738" spans="2:17" x14ac:dyDescent="0.3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30"/>
    </row>
    <row r="739" spans="2:17" x14ac:dyDescent="0.3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30"/>
    </row>
    <row r="740" spans="2:17" x14ac:dyDescent="0.3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30"/>
    </row>
    <row r="741" spans="2:17" x14ac:dyDescent="0.3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30"/>
    </row>
    <row r="742" spans="2:17" x14ac:dyDescent="0.3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30"/>
    </row>
    <row r="743" spans="2:17" x14ac:dyDescent="0.3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30"/>
    </row>
    <row r="744" spans="2:17" x14ac:dyDescent="0.3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30"/>
    </row>
    <row r="745" spans="2:17" x14ac:dyDescent="0.3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30"/>
    </row>
    <row r="746" spans="2:17" x14ac:dyDescent="0.3">
      <c r="M746" s="51"/>
      <c r="N746" s="30"/>
      <c r="O746" s="30"/>
      <c r="P746" s="30"/>
      <c r="Q746" s="30"/>
    </row>
    <row r="747" spans="2:17" x14ac:dyDescent="0.3">
      <c r="N747" s="30"/>
      <c r="O747" s="30"/>
      <c r="P747" s="30"/>
      <c r="Q747" s="30"/>
    </row>
    <row r="748" spans="2:17" x14ac:dyDescent="0.3">
      <c r="N748" s="30"/>
      <c r="O748" s="30"/>
      <c r="P748" s="30"/>
      <c r="Q748" s="30"/>
    </row>
    <row r="749" spans="2:17" x14ac:dyDescent="0.3">
      <c r="N749" s="30"/>
      <c r="O749" s="30"/>
      <c r="P749" s="30"/>
      <c r="Q749" s="30"/>
    </row>
    <row r="750" spans="2:17" x14ac:dyDescent="0.3">
      <c r="N750" s="30"/>
      <c r="O750" s="30"/>
      <c r="P750" s="30"/>
      <c r="Q750" s="30"/>
    </row>
    <row r="751" spans="2:17" x14ac:dyDescent="0.3">
      <c r="N751" s="30"/>
      <c r="O751" s="30"/>
      <c r="P751" s="30"/>
      <c r="Q751" s="30"/>
    </row>
    <row r="752" spans="2:17" x14ac:dyDescent="0.3">
      <c r="N752" s="30"/>
      <c r="O752" s="30"/>
      <c r="P752" s="30"/>
      <c r="Q752" s="30"/>
    </row>
    <row r="753" spans="14:17" x14ac:dyDescent="0.3">
      <c r="N753" s="30"/>
      <c r="O753" s="30"/>
      <c r="P753" s="30"/>
      <c r="Q753" s="30"/>
    </row>
    <row r="754" spans="14:17" x14ac:dyDescent="0.3">
      <c r="N754" s="30"/>
      <c r="O754" s="30"/>
      <c r="P754" s="30"/>
      <c r="Q754" s="30"/>
    </row>
    <row r="755" spans="14:17" x14ac:dyDescent="0.3">
      <c r="N755" s="30"/>
      <c r="O755" s="30"/>
      <c r="P755" s="30"/>
      <c r="Q755" s="30"/>
    </row>
    <row r="756" spans="14:17" x14ac:dyDescent="0.3">
      <c r="N756" s="30"/>
      <c r="O756" s="30"/>
      <c r="P756" s="30"/>
      <c r="Q756" s="30"/>
    </row>
    <row r="757" spans="14:17" x14ac:dyDescent="0.3">
      <c r="N757" s="30"/>
      <c r="O757" s="30"/>
      <c r="P757" s="30"/>
      <c r="Q757" s="30"/>
    </row>
    <row r="758" spans="14:17" x14ac:dyDescent="0.3">
      <c r="N758" s="30"/>
      <c r="O758" s="30"/>
      <c r="P758" s="30"/>
      <c r="Q758" s="30"/>
    </row>
    <row r="759" spans="14:17" x14ac:dyDescent="0.3">
      <c r="N759" s="30"/>
      <c r="O759" s="30"/>
      <c r="P759" s="30"/>
      <c r="Q759" s="30"/>
    </row>
    <row r="760" spans="14:17" x14ac:dyDescent="0.3">
      <c r="N760" s="30"/>
      <c r="O760" s="30"/>
      <c r="P760" s="30"/>
      <c r="Q760" s="30"/>
    </row>
    <row r="761" spans="14:17" x14ac:dyDescent="0.3">
      <c r="N761" s="30"/>
      <c r="O761" s="30"/>
      <c r="P761" s="30"/>
      <c r="Q761" s="30"/>
    </row>
    <row r="762" spans="14:17" x14ac:dyDescent="0.3">
      <c r="N762" s="30"/>
      <c r="O762" s="30"/>
      <c r="P762" s="30"/>
      <c r="Q762" s="30"/>
    </row>
    <row r="763" spans="14:17" x14ac:dyDescent="0.3">
      <c r="N763" s="30"/>
      <c r="O763" s="30"/>
      <c r="P763" s="30"/>
      <c r="Q763" s="30"/>
    </row>
    <row r="764" spans="14:17" x14ac:dyDescent="0.3">
      <c r="N764" s="30"/>
      <c r="O764" s="30"/>
      <c r="P764" s="30"/>
      <c r="Q764" s="30"/>
    </row>
    <row r="765" spans="14:17" x14ac:dyDescent="0.3">
      <c r="N765" s="30"/>
      <c r="O765" s="30"/>
      <c r="P765" s="30"/>
      <c r="Q765" s="30"/>
    </row>
    <row r="766" spans="14:17" x14ac:dyDescent="0.3">
      <c r="N766" s="30"/>
      <c r="O766" s="30"/>
      <c r="P766" s="30"/>
      <c r="Q766" s="30"/>
    </row>
    <row r="767" spans="14:17" x14ac:dyDescent="0.3">
      <c r="N767" s="30"/>
      <c r="O767" s="30"/>
      <c r="P767" s="30"/>
      <c r="Q767" s="30"/>
    </row>
    <row r="768" spans="14:17" x14ac:dyDescent="0.3">
      <c r="N768" s="30"/>
      <c r="O768" s="30"/>
      <c r="P768" s="30"/>
      <c r="Q768" s="30"/>
    </row>
    <row r="769" spans="14:17" x14ac:dyDescent="0.3">
      <c r="N769" s="30"/>
      <c r="O769" s="30"/>
      <c r="P769" s="30"/>
      <c r="Q769" s="30"/>
    </row>
    <row r="770" spans="14:17" x14ac:dyDescent="0.3">
      <c r="N770" s="30"/>
      <c r="O770" s="30"/>
      <c r="P770" s="30"/>
      <c r="Q770" s="30"/>
    </row>
    <row r="771" spans="14:17" x14ac:dyDescent="0.3">
      <c r="N771" s="30"/>
      <c r="O771" s="30"/>
      <c r="P771" s="30"/>
      <c r="Q771" s="30"/>
    </row>
    <row r="772" spans="14:17" x14ac:dyDescent="0.3">
      <c r="N772" s="30"/>
      <c r="O772" s="30"/>
      <c r="P772" s="30"/>
      <c r="Q772" s="30"/>
    </row>
    <row r="773" spans="14:17" x14ac:dyDescent="0.3">
      <c r="N773" s="30"/>
      <c r="O773" s="30"/>
      <c r="P773" s="30"/>
      <c r="Q773" s="30"/>
    </row>
    <row r="774" spans="14:17" x14ac:dyDescent="0.3">
      <c r="N774" s="30"/>
      <c r="O774" s="30"/>
      <c r="P774" s="30"/>
      <c r="Q774" s="30"/>
    </row>
    <row r="775" spans="14:17" x14ac:dyDescent="0.3">
      <c r="N775" s="30"/>
      <c r="O775" s="30"/>
      <c r="P775" s="30"/>
      <c r="Q775" s="30"/>
    </row>
    <row r="776" spans="14:17" x14ac:dyDescent="0.3">
      <c r="N776" s="30"/>
      <c r="O776" s="30"/>
      <c r="P776" s="30"/>
      <c r="Q776" s="30"/>
    </row>
    <row r="777" spans="14:17" x14ac:dyDescent="0.3">
      <c r="N777" s="30"/>
      <c r="O777" s="30"/>
      <c r="P777" s="30"/>
      <c r="Q777" s="30"/>
    </row>
    <row r="778" spans="14:17" x14ac:dyDescent="0.3">
      <c r="N778" s="30"/>
      <c r="O778" s="30"/>
      <c r="P778" s="30"/>
      <c r="Q778" s="30"/>
    </row>
    <row r="779" spans="14:17" x14ac:dyDescent="0.3">
      <c r="N779" s="30"/>
      <c r="O779" s="30"/>
      <c r="P779" s="30"/>
      <c r="Q779" s="30"/>
    </row>
    <row r="780" spans="14:17" x14ac:dyDescent="0.3">
      <c r="N780" s="30"/>
      <c r="O780" s="30"/>
      <c r="P780" s="30"/>
      <c r="Q780" s="30"/>
    </row>
    <row r="781" spans="14:17" x14ac:dyDescent="0.3">
      <c r="N781" s="30"/>
      <c r="O781" s="30"/>
      <c r="P781" s="30"/>
      <c r="Q781" s="30"/>
    </row>
    <row r="782" spans="14:17" x14ac:dyDescent="0.3">
      <c r="N782" s="30"/>
      <c r="O782" s="30"/>
      <c r="P782" s="30"/>
      <c r="Q782" s="30"/>
    </row>
    <row r="783" spans="14:17" x14ac:dyDescent="0.3">
      <c r="N783" s="30"/>
      <c r="O783" s="30"/>
      <c r="P783" s="30"/>
      <c r="Q783" s="30"/>
    </row>
    <row r="784" spans="14:17" x14ac:dyDescent="0.3">
      <c r="N784" s="30"/>
      <c r="O784" s="30"/>
      <c r="P784" s="30"/>
      <c r="Q784" s="30"/>
    </row>
    <row r="785" spans="14:17" x14ac:dyDescent="0.3">
      <c r="N785" s="30"/>
      <c r="O785" s="30"/>
      <c r="P785" s="30"/>
      <c r="Q785" s="30"/>
    </row>
    <row r="786" spans="14:17" x14ac:dyDescent="0.3">
      <c r="N786" s="30"/>
      <c r="O786" s="30"/>
      <c r="P786" s="30"/>
      <c r="Q786" s="30"/>
    </row>
    <row r="787" spans="14:17" x14ac:dyDescent="0.3">
      <c r="N787" s="30"/>
      <c r="O787" s="30"/>
      <c r="P787" s="30"/>
      <c r="Q787" s="30"/>
    </row>
    <row r="788" spans="14:17" x14ac:dyDescent="0.3">
      <c r="N788" s="30"/>
      <c r="O788" s="30"/>
      <c r="P788" s="30"/>
      <c r="Q788" s="30"/>
    </row>
    <row r="789" spans="14:17" x14ac:dyDescent="0.3">
      <c r="N789" s="30"/>
      <c r="O789" s="30"/>
      <c r="P789" s="30"/>
      <c r="Q789" s="30"/>
    </row>
    <row r="790" spans="14:17" x14ac:dyDescent="0.3">
      <c r="N790" s="30"/>
      <c r="O790" s="30"/>
      <c r="P790" s="30"/>
      <c r="Q790" s="30"/>
    </row>
    <row r="791" spans="14:17" x14ac:dyDescent="0.3">
      <c r="N791" s="30"/>
      <c r="O791" s="30"/>
      <c r="P791" s="30"/>
      <c r="Q791" s="30"/>
    </row>
    <row r="792" spans="14:17" x14ac:dyDescent="0.3">
      <c r="N792" s="30"/>
      <c r="O792" s="30"/>
      <c r="P792" s="30"/>
      <c r="Q792" s="30"/>
    </row>
    <row r="793" spans="14:17" x14ac:dyDescent="0.3">
      <c r="N793" s="30"/>
      <c r="O793" s="30"/>
      <c r="P793" s="30"/>
      <c r="Q793" s="30"/>
    </row>
    <row r="794" spans="14:17" x14ac:dyDescent="0.3">
      <c r="N794" s="30"/>
      <c r="O794" s="30"/>
      <c r="P794" s="30"/>
      <c r="Q794" s="30"/>
    </row>
    <row r="795" spans="14:17" x14ac:dyDescent="0.3">
      <c r="N795" s="30"/>
      <c r="O795" s="30"/>
      <c r="P795" s="30"/>
      <c r="Q795" s="30"/>
    </row>
    <row r="796" spans="14:17" x14ac:dyDescent="0.3">
      <c r="N796" s="30"/>
      <c r="O796" s="30"/>
      <c r="P796" s="30"/>
      <c r="Q796" s="30"/>
    </row>
    <row r="797" spans="14:17" x14ac:dyDescent="0.3">
      <c r="N797" s="30"/>
      <c r="O797" s="30"/>
      <c r="P797" s="30"/>
      <c r="Q797" s="30"/>
    </row>
    <row r="798" spans="14:17" x14ac:dyDescent="0.3">
      <c r="N798" s="30"/>
      <c r="O798" s="30"/>
      <c r="P798" s="30"/>
      <c r="Q798" s="30"/>
    </row>
    <row r="799" spans="14:17" x14ac:dyDescent="0.3">
      <c r="N799" s="30"/>
      <c r="O799" s="30"/>
      <c r="P799" s="30"/>
      <c r="Q799" s="30"/>
    </row>
    <row r="800" spans="14:17" x14ac:dyDescent="0.3">
      <c r="N800" s="30"/>
      <c r="O800" s="30"/>
      <c r="P800" s="30"/>
      <c r="Q800" s="30"/>
    </row>
    <row r="801" spans="14:17" x14ac:dyDescent="0.3">
      <c r="N801" s="30"/>
      <c r="O801" s="30"/>
      <c r="P801" s="30"/>
      <c r="Q801" s="30"/>
    </row>
    <row r="802" spans="14:17" x14ac:dyDescent="0.3">
      <c r="N802" s="30"/>
      <c r="O802" s="30"/>
      <c r="P802" s="30"/>
      <c r="Q802" s="30"/>
    </row>
    <row r="803" spans="14:17" x14ac:dyDescent="0.3">
      <c r="N803" s="30"/>
      <c r="O803" s="30"/>
      <c r="P803" s="30"/>
      <c r="Q803" s="30"/>
    </row>
    <row r="804" spans="14:17" x14ac:dyDescent="0.3">
      <c r="N804" s="30"/>
      <c r="O804" s="30"/>
      <c r="P804" s="30"/>
      <c r="Q804" s="30"/>
    </row>
    <row r="805" spans="14:17" x14ac:dyDescent="0.3">
      <c r="N805" s="30"/>
      <c r="O805" s="30"/>
      <c r="P805" s="30"/>
      <c r="Q805" s="30"/>
    </row>
    <row r="806" spans="14:17" x14ac:dyDescent="0.3">
      <c r="N806" s="30"/>
      <c r="O806" s="30"/>
      <c r="P806" s="30"/>
      <c r="Q806" s="30"/>
    </row>
    <row r="807" spans="14:17" x14ac:dyDescent="0.3">
      <c r="N807" s="30"/>
      <c r="O807" s="30"/>
      <c r="P807" s="30"/>
      <c r="Q807" s="30"/>
    </row>
    <row r="808" spans="14:17" x14ac:dyDescent="0.3">
      <c r="N808" s="30"/>
      <c r="O808" s="30"/>
      <c r="P808" s="30"/>
      <c r="Q808" s="30"/>
    </row>
    <row r="809" spans="14:17" x14ac:dyDescent="0.3">
      <c r="N809" s="30"/>
      <c r="O809" s="30"/>
      <c r="P809" s="30"/>
      <c r="Q809" s="30"/>
    </row>
    <row r="810" spans="14:17" x14ac:dyDescent="0.3">
      <c r="N810" s="30"/>
      <c r="O810" s="30"/>
      <c r="P810" s="30"/>
      <c r="Q810" s="30"/>
    </row>
    <row r="811" spans="14:17" x14ac:dyDescent="0.3">
      <c r="N811" s="30"/>
      <c r="O811" s="30"/>
      <c r="P811" s="30"/>
      <c r="Q811" s="30"/>
    </row>
    <row r="812" spans="14:17" x14ac:dyDescent="0.3">
      <c r="N812" s="30"/>
      <c r="O812" s="30"/>
      <c r="P812" s="30"/>
      <c r="Q812" s="30"/>
    </row>
    <row r="813" spans="14:17" x14ac:dyDescent="0.3">
      <c r="N813" s="30"/>
      <c r="O813" s="30"/>
      <c r="P813" s="30"/>
      <c r="Q813" s="30"/>
    </row>
    <row r="814" spans="14:17" x14ac:dyDescent="0.3">
      <c r="N814" s="30"/>
      <c r="O814" s="30"/>
      <c r="P814" s="30"/>
      <c r="Q814" s="30"/>
    </row>
    <row r="815" spans="14:17" x14ac:dyDescent="0.3">
      <c r="N815" s="30"/>
      <c r="O815" s="30"/>
      <c r="P815" s="30"/>
      <c r="Q815" s="30"/>
    </row>
    <row r="816" spans="14:17" x14ac:dyDescent="0.3">
      <c r="N816" s="30"/>
      <c r="O816" s="30"/>
      <c r="P816" s="30"/>
      <c r="Q816" s="30"/>
    </row>
    <row r="817" spans="14:17" x14ac:dyDescent="0.3">
      <c r="N817" s="30"/>
      <c r="O817" s="30"/>
      <c r="P817" s="30"/>
      <c r="Q817" s="30"/>
    </row>
    <row r="818" spans="14:17" x14ac:dyDescent="0.3">
      <c r="N818" s="30"/>
      <c r="O818" s="30"/>
      <c r="P818" s="30"/>
      <c r="Q818" s="30"/>
    </row>
    <row r="819" spans="14:17" x14ac:dyDescent="0.3">
      <c r="N819" s="30"/>
      <c r="O819" s="30"/>
      <c r="P819" s="30"/>
      <c r="Q819" s="30"/>
    </row>
    <row r="820" spans="14:17" x14ac:dyDescent="0.3">
      <c r="N820" s="30"/>
      <c r="O820" s="30"/>
      <c r="P820" s="30"/>
      <c r="Q820" s="30"/>
    </row>
    <row r="821" spans="14:17" x14ac:dyDescent="0.3">
      <c r="N821" s="30"/>
      <c r="O821" s="30"/>
      <c r="P821" s="30"/>
      <c r="Q821" s="30"/>
    </row>
    <row r="822" spans="14:17" x14ac:dyDescent="0.3">
      <c r="N822" s="30"/>
      <c r="O822" s="30"/>
      <c r="P822" s="30"/>
      <c r="Q822" s="30"/>
    </row>
    <row r="823" spans="14:17" x14ac:dyDescent="0.3">
      <c r="N823" s="30"/>
      <c r="O823" s="30"/>
      <c r="P823" s="30"/>
      <c r="Q823" s="30"/>
    </row>
    <row r="824" spans="14:17" x14ac:dyDescent="0.3">
      <c r="N824" s="30"/>
      <c r="O824" s="30"/>
      <c r="P824" s="30"/>
      <c r="Q824" s="30"/>
    </row>
    <row r="825" spans="14:17" x14ac:dyDescent="0.3">
      <c r="N825" s="30"/>
      <c r="O825" s="30"/>
      <c r="P825" s="30"/>
      <c r="Q825" s="30"/>
    </row>
    <row r="826" spans="14:17" x14ac:dyDescent="0.3">
      <c r="N826" s="30"/>
      <c r="O826" s="30"/>
      <c r="P826" s="30"/>
      <c r="Q826" s="30"/>
    </row>
    <row r="827" spans="14:17" x14ac:dyDescent="0.3">
      <c r="N827" s="30"/>
      <c r="O827" s="30"/>
      <c r="P827" s="30"/>
      <c r="Q827" s="30"/>
    </row>
    <row r="828" spans="14:17" x14ac:dyDescent="0.3">
      <c r="N828" s="30"/>
      <c r="O828" s="30"/>
      <c r="P828" s="30"/>
      <c r="Q828" s="30"/>
    </row>
    <row r="829" spans="14:17" x14ac:dyDescent="0.3">
      <c r="N829" s="30"/>
      <c r="O829" s="30"/>
      <c r="P829" s="30"/>
      <c r="Q829" s="30"/>
    </row>
    <row r="830" spans="14:17" x14ac:dyDescent="0.3">
      <c r="N830" s="30"/>
      <c r="O830" s="30"/>
      <c r="P830" s="30"/>
      <c r="Q830" s="30"/>
    </row>
    <row r="831" spans="14:17" x14ac:dyDescent="0.3">
      <c r="N831" s="30"/>
      <c r="O831" s="30"/>
      <c r="P831" s="30"/>
      <c r="Q831" s="30"/>
    </row>
    <row r="832" spans="14:17" x14ac:dyDescent="0.3">
      <c r="N832" s="30"/>
      <c r="O832" s="30"/>
      <c r="P832" s="30"/>
      <c r="Q832" s="30"/>
    </row>
    <row r="833" spans="14:17" x14ac:dyDescent="0.3">
      <c r="N833" s="30"/>
      <c r="O833" s="30"/>
      <c r="P833" s="30"/>
      <c r="Q833" s="30"/>
    </row>
    <row r="834" spans="14:17" x14ac:dyDescent="0.3">
      <c r="N834" s="30"/>
      <c r="O834" s="30"/>
      <c r="P834" s="30"/>
      <c r="Q834" s="30"/>
    </row>
    <row r="835" spans="14:17" x14ac:dyDescent="0.3">
      <c r="N835" s="30"/>
      <c r="O835" s="30"/>
      <c r="P835" s="30"/>
      <c r="Q835" s="30"/>
    </row>
    <row r="836" spans="14:17" x14ac:dyDescent="0.3">
      <c r="N836" s="30"/>
      <c r="O836" s="30"/>
      <c r="P836" s="30"/>
      <c r="Q836" s="30"/>
    </row>
    <row r="837" spans="14:17" x14ac:dyDescent="0.3">
      <c r="N837" s="30"/>
      <c r="O837" s="30"/>
      <c r="P837" s="30"/>
      <c r="Q837" s="30"/>
    </row>
    <row r="838" spans="14:17" x14ac:dyDescent="0.3">
      <c r="N838" s="30"/>
      <c r="O838" s="30"/>
      <c r="P838" s="30"/>
      <c r="Q838" s="30"/>
    </row>
    <row r="839" spans="14:17" x14ac:dyDescent="0.3">
      <c r="N839" s="30"/>
      <c r="O839" s="30"/>
      <c r="P839" s="30"/>
      <c r="Q839" s="30"/>
    </row>
    <row r="840" spans="14:17" x14ac:dyDescent="0.3">
      <c r="N840" s="30"/>
      <c r="O840" s="30"/>
      <c r="P840" s="30"/>
      <c r="Q840" s="30"/>
    </row>
    <row r="841" spans="14:17" x14ac:dyDescent="0.3">
      <c r="N841" s="30"/>
      <c r="O841" s="30"/>
      <c r="P841" s="30"/>
      <c r="Q841" s="30"/>
    </row>
    <row r="842" spans="14:17" x14ac:dyDescent="0.3">
      <c r="N842" s="30"/>
      <c r="O842" s="30"/>
      <c r="P842" s="30"/>
      <c r="Q842" s="30"/>
    </row>
    <row r="843" spans="14:17" x14ac:dyDescent="0.3">
      <c r="N843" s="30"/>
      <c r="O843" s="30"/>
      <c r="P843" s="30"/>
      <c r="Q843" s="30"/>
    </row>
    <row r="844" spans="14:17" x14ac:dyDescent="0.3">
      <c r="N844" s="30"/>
      <c r="O844" s="30"/>
      <c r="P844" s="30"/>
      <c r="Q844" s="30"/>
    </row>
    <row r="845" spans="14:17" x14ac:dyDescent="0.3">
      <c r="N845" s="30"/>
      <c r="O845" s="30"/>
      <c r="P845" s="30"/>
      <c r="Q845" s="30"/>
    </row>
    <row r="846" spans="14:17" x14ac:dyDescent="0.3">
      <c r="N846" s="30"/>
      <c r="O846" s="30"/>
      <c r="P846" s="30"/>
      <c r="Q846" s="30"/>
    </row>
    <row r="847" spans="14:17" x14ac:dyDescent="0.3">
      <c r="N847" s="30"/>
      <c r="O847" s="30"/>
      <c r="P847" s="30"/>
      <c r="Q847" s="30"/>
    </row>
    <row r="848" spans="14:17" x14ac:dyDescent="0.3">
      <c r="N848" s="30"/>
      <c r="O848" s="30"/>
      <c r="P848" s="30"/>
      <c r="Q848" s="30"/>
    </row>
    <row r="849" spans="14:17" x14ac:dyDescent="0.3">
      <c r="N849" s="30"/>
      <c r="O849" s="30"/>
      <c r="P849" s="30"/>
      <c r="Q849" s="30"/>
    </row>
    <row r="850" spans="14:17" x14ac:dyDescent="0.3">
      <c r="N850" s="30"/>
      <c r="O850" s="30"/>
      <c r="P850" s="30"/>
      <c r="Q850" s="30"/>
    </row>
    <row r="851" spans="14:17" x14ac:dyDescent="0.3">
      <c r="N851" s="30"/>
      <c r="O851" s="30"/>
      <c r="P851" s="30"/>
      <c r="Q851" s="30"/>
    </row>
    <row r="852" spans="14:17" x14ac:dyDescent="0.3">
      <c r="N852" s="30"/>
      <c r="O852" s="30"/>
      <c r="P852" s="30"/>
      <c r="Q852" s="30"/>
    </row>
    <row r="853" spans="14:17" x14ac:dyDescent="0.3">
      <c r="N853" s="30"/>
      <c r="O853" s="30"/>
      <c r="P853" s="30"/>
      <c r="Q853" s="30"/>
    </row>
    <row r="854" spans="14:17" x14ac:dyDescent="0.3">
      <c r="N854" s="30"/>
      <c r="O854" s="30"/>
      <c r="P854" s="30"/>
      <c r="Q854" s="30"/>
    </row>
    <row r="855" spans="14:17" x14ac:dyDescent="0.3">
      <c r="N855" s="30"/>
      <c r="O855" s="30"/>
      <c r="P855" s="30"/>
      <c r="Q855" s="30"/>
    </row>
    <row r="856" spans="14:17" x14ac:dyDescent="0.3">
      <c r="N856" s="30"/>
      <c r="O856" s="30"/>
      <c r="P856" s="30"/>
      <c r="Q856" s="30"/>
    </row>
    <row r="857" spans="14:17" x14ac:dyDescent="0.3">
      <c r="N857" s="30"/>
      <c r="O857" s="30"/>
      <c r="P857" s="30"/>
      <c r="Q857" s="30"/>
    </row>
    <row r="858" spans="14:17" x14ac:dyDescent="0.3">
      <c r="N858" s="30"/>
      <c r="O858" s="30"/>
      <c r="P858" s="30"/>
      <c r="Q858" s="30"/>
    </row>
    <row r="859" spans="14:17" x14ac:dyDescent="0.3">
      <c r="N859" s="30"/>
      <c r="O859" s="30"/>
      <c r="P859" s="30"/>
      <c r="Q859" s="30"/>
    </row>
    <row r="860" spans="14:17" x14ac:dyDescent="0.3">
      <c r="N860" s="30"/>
      <c r="O860" s="30"/>
      <c r="P860" s="30"/>
      <c r="Q860" s="30"/>
    </row>
    <row r="861" spans="14:17" x14ac:dyDescent="0.3">
      <c r="N861" s="30"/>
      <c r="O861" s="30"/>
      <c r="P861" s="30"/>
      <c r="Q861" s="30"/>
    </row>
    <row r="862" spans="14:17" x14ac:dyDescent="0.3">
      <c r="N862" s="30"/>
      <c r="O862" s="30"/>
      <c r="P862" s="30"/>
      <c r="Q862" s="30"/>
    </row>
    <row r="863" spans="14:17" x14ac:dyDescent="0.3">
      <c r="N863" s="30"/>
      <c r="O863" s="30"/>
      <c r="P863" s="30"/>
      <c r="Q863" s="30"/>
    </row>
    <row r="864" spans="14:17" x14ac:dyDescent="0.3">
      <c r="N864" s="30"/>
      <c r="O864" s="30"/>
      <c r="P864" s="30"/>
      <c r="Q864" s="30"/>
    </row>
    <row r="865" spans="14:17" x14ac:dyDescent="0.3">
      <c r="N865" s="30"/>
      <c r="O865" s="30"/>
      <c r="P865" s="30"/>
      <c r="Q865" s="30"/>
    </row>
    <row r="866" spans="14:17" x14ac:dyDescent="0.3">
      <c r="N866" s="30"/>
      <c r="O866" s="30"/>
      <c r="P866" s="30"/>
      <c r="Q866" s="30"/>
    </row>
    <row r="867" spans="14:17" x14ac:dyDescent="0.3">
      <c r="N867" s="30"/>
      <c r="O867" s="30"/>
      <c r="P867" s="30"/>
      <c r="Q867" s="30"/>
    </row>
    <row r="868" spans="14:17" x14ac:dyDescent="0.3">
      <c r="N868" s="30"/>
      <c r="O868" s="30"/>
      <c r="P868" s="30"/>
      <c r="Q868" s="30"/>
    </row>
    <row r="869" spans="14:17" x14ac:dyDescent="0.3">
      <c r="N869" s="30"/>
      <c r="O869" s="30"/>
      <c r="P869" s="30"/>
      <c r="Q869" s="30"/>
    </row>
    <row r="870" spans="14:17" x14ac:dyDescent="0.3">
      <c r="N870" s="30"/>
      <c r="O870" s="30"/>
      <c r="P870" s="30"/>
      <c r="Q870" s="30"/>
    </row>
    <row r="871" spans="14:17" x14ac:dyDescent="0.3">
      <c r="N871" s="30"/>
      <c r="O871" s="30"/>
      <c r="P871" s="30"/>
      <c r="Q871" s="30"/>
    </row>
    <row r="872" spans="14:17" x14ac:dyDescent="0.3">
      <c r="N872" s="30"/>
      <c r="O872" s="30"/>
      <c r="P872" s="30"/>
      <c r="Q872" s="30"/>
    </row>
    <row r="873" spans="14:17" x14ac:dyDescent="0.3">
      <c r="N873" s="30"/>
      <c r="O873" s="30"/>
      <c r="P873" s="30"/>
      <c r="Q873" s="30"/>
    </row>
    <row r="874" spans="14:17" x14ac:dyDescent="0.3">
      <c r="N874" s="30"/>
      <c r="O874" s="30"/>
      <c r="P874" s="30"/>
      <c r="Q874" s="30"/>
    </row>
    <row r="875" spans="14:17" x14ac:dyDescent="0.3">
      <c r="N875" s="30"/>
      <c r="O875" s="30"/>
      <c r="P875" s="30"/>
      <c r="Q875" s="30"/>
    </row>
    <row r="876" spans="14:17" x14ac:dyDescent="0.3">
      <c r="N876" s="30"/>
      <c r="O876" s="30"/>
      <c r="P876" s="30"/>
      <c r="Q876" s="30"/>
    </row>
    <row r="877" spans="14:17" x14ac:dyDescent="0.3">
      <c r="N877" s="30"/>
      <c r="O877" s="30"/>
      <c r="P877" s="30"/>
      <c r="Q877" s="30"/>
    </row>
    <row r="878" spans="14:17" x14ac:dyDescent="0.3">
      <c r="N878" s="30"/>
      <c r="O878" s="30"/>
      <c r="P878" s="30"/>
      <c r="Q878" s="30"/>
    </row>
    <row r="879" spans="14:17" x14ac:dyDescent="0.3">
      <c r="N879" s="30"/>
      <c r="O879" s="30"/>
      <c r="P879" s="30"/>
      <c r="Q879" s="30"/>
    </row>
    <row r="880" spans="14:17" x14ac:dyDescent="0.3">
      <c r="N880" s="30"/>
      <c r="O880" s="30"/>
      <c r="P880" s="30"/>
      <c r="Q880" s="30"/>
    </row>
    <row r="881" spans="14:17" x14ac:dyDescent="0.3">
      <c r="N881" s="30"/>
      <c r="O881" s="30"/>
      <c r="P881" s="30"/>
      <c r="Q881" s="30"/>
    </row>
    <row r="882" spans="14:17" x14ac:dyDescent="0.3">
      <c r="N882" s="30"/>
      <c r="O882" s="30"/>
      <c r="P882" s="30"/>
      <c r="Q882" s="30"/>
    </row>
    <row r="883" spans="14:17" x14ac:dyDescent="0.3">
      <c r="N883" s="30"/>
      <c r="O883" s="30"/>
      <c r="P883" s="30"/>
      <c r="Q883" s="30"/>
    </row>
    <row r="884" spans="14:17" x14ac:dyDescent="0.3">
      <c r="N884" s="30"/>
      <c r="O884" s="30"/>
      <c r="P884" s="30"/>
      <c r="Q884" s="30"/>
    </row>
    <row r="885" spans="14:17" x14ac:dyDescent="0.3">
      <c r="N885" s="30"/>
      <c r="O885" s="30"/>
      <c r="P885" s="30"/>
      <c r="Q885" s="30"/>
    </row>
    <row r="886" spans="14:17" x14ac:dyDescent="0.3">
      <c r="N886" s="30"/>
      <c r="O886" s="30"/>
      <c r="P886" s="30"/>
      <c r="Q886" s="30"/>
    </row>
    <row r="887" spans="14:17" x14ac:dyDescent="0.3">
      <c r="N887" s="30"/>
      <c r="O887" s="30"/>
      <c r="P887" s="30"/>
      <c r="Q887" s="30"/>
    </row>
    <row r="888" spans="14:17" x14ac:dyDescent="0.3">
      <c r="N888" s="30"/>
      <c r="O888" s="30"/>
      <c r="P888" s="30"/>
      <c r="Q888" s="30"/>
    </row>
    <row r="889" spans="14:17" x14ac:dyDescent="0.3">
      <c r="N889" s="30"/>
      <c r="O889" s="30"/>
      <c r="P889" s="30"/>
      <c r="Q889" s="30"/>
    </row>
    <row r="890" spans="14:17" x14ac:dyDescent="0.3">
      <c r="N890" s="30"/>
      <c r="O890" s="30"/>
      <c r="P890" s="30"/>
      <c r="Q890" s="30"/>
    </row>
    <row r="891" spans="14:17" x14ac:dyDescent="0.3">
      <c r="N891" s="30"/>
      <c r="O891" s="30"/>
      <c r="P891" s="30"/>
      <c r="Q891" s="30"/>
    </row>
    <row r="892" spans="14:17" x14ac:dyDescent="0.3">
      <c r="N892" s="30"/>
      <c r="O892" s="30"/>
      <c r="P892" s="30"/>
      <c r="Q892" s="30"/>
    </row>
    <row r="893" spans="14:17" x14ac:dyDescent="0.3">
      <c r="N893" s="30"/>
      <c r="O893" s="30"/>
      <c r="P893" s="30"/>
      <c r="Q893" s="30"/>
    </row>
    <row r="894" spans="14:17" x14ac:dyDescent="0.3">
      <c r="N894" s="30"/>
      <c r="O894" s="30"/>
      <c r="P894" s="30"/>
      <c r="Q894" s="30"/>
    </row>
    <row r="895" spans="14:17" x14ac:dyDescent="0.3">
      <c r="N895" s="30"/>
      <c r="O895" s="30"/>
      <c r="P895" s="30"/>
      <c r="Q895" s="30"/>
    </row>
    <row r="896" spans="14:17" x14ac:dyDescent="0.3">
      <c r="N896" s="30"/>
      <c r="O896" s="30"/>
      <c r="P896" s="30"/>
      <c r="Q896" s="30"/>
    </row>
    <row r="897" spans="14:17" x14ac:dyDescent="0.3">
      <c r="N897" s="30"/>
      <c r="O897" s="30"/>
      <c r="P897" s="30"/>
      <c r="Q897" s="30"/>
    </row>
    <row r="898" spans="14:17" x14ac:dyDescent="0.3">
      <c r="N898" s="30"/>
      <c r="O898" s="30"/>
      <c r="P898" s="30"/>
      <c r="Q898" s="30"/>
    </row>
    <row r="899" spans="14:17" x14ac:dyDescent="0.3">
      <c r="N899" s="30"/>
      <c r="O899" s="30"/>
      <c r="P899" s="30"/>
      <c r="Q899" s="30"/>
    </row>
    <row r="900" spans="14:17" x14ac:dyDescent="0.3">
      <c r="N900" s="30"/>
      <c r="O900" s="30"/>
      <c r="P900" s="30"/>
      <c r="Q900" s="30"/>
    </row>
    <row r="901" spans="14:17" x14ac:dyDescent="0.3">
      <c r="N901" s="30"/>
      <c r="O901" s="30"/>
      <c r="P901" s="30"/>
      <c r="Q901" s="30"/>
    </row>
    <row r="902" spans="14:17" x14ac:dyDescent="0.3">
      <c r="N902" s="30"/>
      <c r="O902" s="30"/>
      <c r="P902" s="30"/>
      <c r="Q902" s="30"/>
    </row>
    <row r="903" spans="14:17" x14ac:dyDescent="0.3">
      <c r="N903" s="30"/>
      <c r="O903" s="30"/>
      <c r="P903" s="30"/>
      <c r="Q903" s="30"/>
    </row>
    <row r="904" spans="14:17" x14ac:dyDescent="0.3">
      <c r="N904" s="30"/>
      <c r="O904" s="30"/>
      <c r="P904" s="30"/>
      <c r="Q904" s="30"/>
    </row>
    <row r="905" spans="14:17" x14ac:dyDescent="0.3">
      <c r="N905" s="30"/>
      <c r="O905" s="30"/>
      <c r="P905" s="30"/>
      <c r="Q905" s="30"/>
    </row>
    <row r="906" spans="14:17" x14ac:dyDescent="0.3">
      <c r="N906" s="30"/>
      <c r="O906" s="30"/>
      <c r="P906" s="30"/>
      <c r="Q906" s="30"/>
    </row>
    <row r="907" spans="14:17" x14ac:dyDescent="0.3">
      <c r="N907" s="30"/>
      <c r="O907" s="30"/>
      <c r="P907" s="30"/>
      <c r="Q907" s="30"/>
    </row>
    <row r="908" spans="14:17" x14ac:dyDescent="0.3">
      <c r="N908" s="30"/>
      <c r="O908" s="30"/>
      <c r="P908" s="30"/>
      <c r="Q908" s="30"/>
    </row>
    <row r="909" spans="14:17" x14ac:dyDescent="0.3">
      <c r="N909" s="30"/>
      <c r="O909" s="30"/>
      <c r="P909" s="30"/>
      <c r="Q909" s="30"/>
    </row>
    <row r="910" spans="14:17" x14ac:dyDescent="0.3">
      <c r="N910" s="30"/>
      <c r="O910" s="30"/>
      <c r="P910" s="30"/>
      <c r="Q910" s="30"/>
    </row>
    <row r="911" spans="14:17" x14ac:dyDescent="0.3">
      <c r="N911" s="30"/>
      <c r="O911" s="30"/>
      <c r="P911" s="30"/>
      <c r="Q911" s="30"/>
    </row>
    <row r="912" spans="14:17" x14ac:dyDescent="0.3">
      <c r="N912" s="30"/>
      <c r="O912" s="30"/>
      <c r="P912" s="30"/>
      <c r="Q912" s="30"/>
    </row>
    <row r="913" spans="14:17" x14ac:dyDescent="0.3">
      <c r="N913" s="30"/>
      <c r="O913" s="30"/>
      <c r="P913" s="30"/>
      <c r="Q913" s="30"/>
    </row>
    <row r="914" spans="14:17" x14ac:dyDescent="0.3">
      <c r="N914" s="30"/>
      <c r="O914" s="30"/>
      <c r="P914" s="30"/>
      <c r="Q914" s="30"/>
    </row>
    <row r="915" spans="14:17" x14ac:dyDescent="0.3">
      <c r="N915" s="30"/>
      <c r="O915" s="30"/>
      <c r="P915" s="30"/>
      <c r="Q915" s="30"/>
    </row>
    <row r="916" spans="14:17" x14ac:dyDescent="0.3">
      <c r="N916" s="30"/>
      <c r="O916" s="30"/>
      <c r="P916" s="30"/>
      <c r="Q916" s="30"/>
    </row>
    <row r="917" spans="14:17" x14ac:dyDescent="0.3">
      <c r="N917" s="30"/>
      <c r="O917" s="30"/>
      <c r="P917" s="30"/>
      <c r="Q917" s="30"/>
    </row>
    <row r="918" spans="14:17" x14ac:dyDescent="0.3">
      <c r="N918" s="30"/>
      <c r="O918" s="30"/>
      <c r="P918" s="30"/>
      <c r="Q918" s="30"/>
    </row>
    <row r="919" spans="14:17" x14ac:dyDescent="0.3">
      <c r="N919" s="30"/>
      <c r="O919" s="30"/>
      <c r="P919" s="30"/>
      <c r="Q919" s="30"/>
    </row>
    <row r="920" spans="14:17" x14ac:dyDescent="0.3">
      <c r="N920" s="30"/>
      <c r="O920" s="30"/>
      <c r="P920" s="30"/>
      <c r="Q920" s="30"/>
    </row>
    <row r="921" spans="14:17" x14ac:dyDescent="0.3">
      <c r="N921" s="30"/>
      <c r="O921" s="30"/>
      <c r="P921" s="30"/>
      <c r="Q921" s="30"/>
    </row>
    <row r="922" spans="14:17" x14ac:dyDescent="0.3">
      <c r="N922" s="30"/>
      <c r="O922" s="30"/>
      <c r="P922" s="30"/>
      <c r="Q922" s="30"/>
    </row>
    <row r="923" spans="14:17" x14ac:dyDescent="0.3">
      <c r="N923" s="30"/>
      <c r="O923" s="30"/>
      <c r="P923" s="30"/>
      <c r="Q923" s="30"/>
    </row>
    <row r="924" spans="14:17" x14ac:dyDescent="0.3">
      <c r="N924" s="30"/>
      <c r="O924" s="30"/>
      <c r="P924" s="30"/>
      <c r="Q924" s="30"/>
    </row>
    <row r="925" spans="14:17" x14ac:dyDescent="0.3">
      <c r="N925" s="30"/>
      <c r="O925" s="30"/>
      <c r="P925" s="30"/>
      <c r="Q925" s="30"/>
    </row>
    <row r="926" spans="14:17" x14ac:dyDescent="0.3">
      <c r="N926" s="30"/>
      <c r="O926" s="30"/>
      <c r="P926" s="30"/>
      <c r="Q926" s="30"/>
    </row>
    <row r="927" spans="14:17" x14ac:dyDescent="0.3">
      <c r="N927" s="30"/>
      <c r="O927" s="30"/>
      <c r="P927" s="30"/>
      <c r="Q927" s="30"/>
    </row>
    <row r="928" spans="14:17" x14ac:dyDescent="0.3">
      <c r="N928" s="30"/>
      <c r="O928" s="30"/>
      <c r="P928" s="30"/>
      <c r="Q928" s="30"/>
    </row>
    <row r="929" spans="14:17" x14ac:dyDescent="0.3">
      <c r="N929" s="30"/>
      <c r="O929" s="30"/>
      <c r="P929" s="30"/>
      <c r="Q929" s="30"/>
    </row>
    <row r="930" spans="14:17" x14ac:dyDescent="0.3">
      <c r="N930" s="30"/>
      <c r="O930" s="30"/>
      <c r="P930" s="30"/>
      <c r="Q930" s="30"/>
    </row>
    <row r="931" spans="14:17" x14ac:dyDescent="0.3">
      <c r="N931" s="30"/>
      <c r="O931" s="30"/>
      <c r="P931" s="30"/>
      <c r="Q931" s="30"/>
    </row>
    <row r="932" spans="14:17" x14ac:dyDescent="0.3">
      <c r="N932" s="30"/>
      <c r="O932" s="30"/>
      <c r="P932" s="30"/>
      <c r="Q932" s="30"/>
    </row>
    <row r="933" spans="14:17" x14ac:dyDescent="0.3">
      <c r="N933" s="30"/>
      <c r="O933" s="30"/>
      <c r="P933" s="30"/>
      <c r="Q933" s="30"/>
    </row>
    <row r="934" spans="14:17" x14ac:dyDescent="0.3">
      <c r="N934" s="30"/>
      <c r="O934" s="30"/>
      <c r="P934" s="30"/>
      <c r="Q934" s="30"/>
    </row>
    <row r="935" spans="14:17" x14ac:dyDescent="0.3">
      <c r="N935" s="30"/>
      <c r="O935" s="30"/>
      <c r="P935" s="30"/>
      <c r="Q935" s="30"/>
    </row>
    <row r="936" spans="14:17" x14ac:dyDescent="0.3">
      <c r="N936" s="30"/>
      <c r="O936" s="30"/>
      <c r="P936" s="30"/>
      <c r="Q936" s="30"/>
    </row>
    <row r="937" spans="14:17" x14ac:dyDescent="0.3">
      <c r="N937" s="30"/>
      <c r="O937" s="30"/>
      <c r="P937" s="30"/>
      <c r="Q937" s="30"/>
    </row>
    <row r="938" spans="14:17" x14ac:dyDescent="0.3">
      <c r="N938" s="30"/>
      <c r="O938" s="30"/>
      <c r="P938" s="30"/>
      <c r="Q938" s="30"/>
    </row>
    <row r="939" spans="14:17" x14ac:dyDescent="0.3">
      <c r="N939" s="30"/>
      <c r="O939" s="30"/>
      <c r="P939" s="30"/>
      <c r="Q939" s="30"/>
    </row>
    <row r="940" spans="14:17" x14ac:dyDescent="0.3">
      <c r="N940" s="30"/>
      <c r="O940" s="30"/>
      <c r="P940" s="30"/>
      <c r="Q940" s="30"/>
    </row>
    <row r="941" spans="14:17" x14ac:dyDescent="0.3">
      <c r="N941" s="30"/>
      <c r="O941" s="30"/>
      <c r="P941" s="30"/>
      <c r="Q941" s="30"/>
    </row>
    <row r="942" spans="14:17" x14ac:dyDescent="0.3">
      <c r="N942" s="30"/>
      <c r="O942" s="30"/>
      <c r="P942" s="30"/>
      <c r="Q942" s="30"/>
    </row>
    <row r="943" spans="14:17" x14ac:dyDescent="0.3">
      <c r="N943" s="30"/>
      <c r="O943" s="30"/>
      <c r="P943" s="30"/>
      <c r="Q943" s="30"/>
    </row>
    <row r="944" spans="14:17" x14ac:dyDescent="0.3">
      <c r="N944" s="30"/>
      <c r="O944" s="30"/>
      <c r="P944" s="30"/>
      <c r="Q944" s="30"/>
    </row>
    <row r="945" spans="14:17" x14ac:dyDescent="0.3">
      <c r="N945" s="30"/>
      <c r="O945" s="30"/>
      <c r="P945" s="30"/>
      <c r="Q945" s="30"/>
    </row>
    <row r="946" spans="14:17" x14ac:dyDescent="0.3">
      <c r="N946" s="30"/>
      <c r="O946" s="30"/>
      <c r="P946" s="30"/>
      <c r="Q946" s="30"/>
    </row>
    <row r="947" spans="14:17" x14ac:dyDescent="0.3">
      <c r="N947" s="30"/>
      <c r="O947" s="30"/>
      <c r="P947" s="30"/>
      <c r="Q947" s="30"/>
    </row>
    <row r="948" spans="14:17" x14ac:dyDescent="0.3">
      <c r="N948" s="30"/>
      <c r="O948" s="30"/>
      <c r="P948" s="30"/>
      <c r="Q948" s="30"/>
    </row>
    <row r="949" spans="14:17" x14ac:dyDescent="0.3">
      <c r="N949" s="30"/>
      <c r="O949" s="30"/>
      <c r="P949" s="30"/>
      <c r="Q949" s="30"/>
    </row>
    <row r="950" spans="14:17" x14ac:dyDescent="0.3">
      <c r="N950" s="30"/>
      <c r="O950" s="30"/>
      <c r="P950" s="30"/>
      <c r="Q950" s="30"/>
    </row>
    <row r="951" spans="14:17" x14ac:dyDescent="0.3">
      <c r="N951" s="30"/>
      <c r="O951" s="30"/>
      <c r="P951" s="30"/>
      <c r="Q951" s="30"/>
    </row>
    <row r="952" spans="14:17" x14ac:dyDescent="0.3">
      <c r="N952" s="30"/>
      <c r="O952" s="30"/>
      <c r="P952" s="30"/>
      <c r="Q952" s="30"/>
    </row>
    <row r="953" spans="14:17" x14ac:dyDescent="0.3">
      <c r="N953" s="30"/>
      <c r="O953" s="30"/>
      <c r="P953" s="30"/>
      <c r="Q953" s="30"/>
    </row>
    <row r="954" spans="14:17" x14ac:dyDescent="0.3">
      <c r="N954" s="30"/>
      <c r="O954" s="30"/>
      <c r="P954" s="30"/>
      <c r="Q954" s="30"/>
    </row>
    <row r="955" spans="14:17" x14ac:dyDescent="0.3">
      <c r="N955" s="30"/>
      <c r="O955" s="30"/>
      <c r="P955" s="30"/>
      <c r="Q955" s="30"/>
    </row>
    <row r="956" spans="14:17" x14ac:dyDescent="0.3">
      <c r="N956" s="30"/>
      <c r="O956" s="30"/>
      <c r="P956" s="30"/>
      <c r="Q956" s="30"/>
    </row>
    <row r="957" spans="14:17" x14ac:dyDescent="0.3">
      <c r="N957" s="30"/>
      <c r="O957" s="30"/>
      <c r="P957" s="30"/>
      <c r="Q957" s="30"/>
    </row>
    <row r="958" spans="14:17" x14ac:dyDescent="0.3">
      <c r="N958" s="30"/>
      <c r="O958" s="30"/>
      <c r="P958" s="30"/>
      <c r="Q958" s="30"/>
    </row>
    <row r="959" spans="14:17" x14ac:dyDescent="0.3">
      <c r="N959" s="30"/>
      <c r="O959" s="30"/>
      <c r="P959" s="30"/>
      <c r="Q959" s="30"/>
    </row>
    <row r="960" spans="14:17" x14ac:dyDescent="0.3">
      <c r="N960" s="30"/>
      <c r="O960" s="30"/>
      <c r="P960" s="30"/>
      <c r="Q960" s="30"/>
    </row>
    <row r="961" spans="14:17" x14ac:dyDescent="0.3">
      <c r="N961" s="30"/>
      <c r="O961" s="30"/>
      <c r="P961" s="30"/>
      <c r="Q961" s="30"/>
    </row>
    <row r="962" spans="14:17" x14ac:dyDescent="0.3">
      <c r="N962" s="30"/>
      <c r="O962" s="30"/>
      <c r="P962" s="30"/>
      <c r="Q962" s="30"/>
    </row>
    <row r="963" spans="14:17" x14ac:dyDescent="0.3">
      <c r="N963" s="30"/>
      <c r="O963" s="30"/>
      <c r="P963" s="30"/>
      <c r="Q963" s="30"/>
    </row>
    <row r="964" spans="14:17" x14ac:dyDescent="0.3">
      <c r="N964" s="30"/>
      <c r="O964" s="30"/>
      <c r="P964" s="30"/>
      <c r="Q964" s="30"/>
    </row>
    <row r="965" spans="14:17" x14ac:dyDescent="0.3">
      <c r="N965" s="30"/>
      <c r="O965" s="30"/>
      <c r="P965" s="30"/>
      <c r="Q965" s="30"/>
    </row>
    <row r="966" spans="14:17" x14ac:dyDescent="0.3">
      <c r="N966" s="30"/>
      <c r="O966" s="30"/>
      <c r="P966" s="30"/>
      <c r="Q966" s="30"/>
    </row>
    <row r="967" spans="14:17" x14ac:dyDescent="0.3">
      <c r="N967" s="30"/>
      <c r="O967" s="30"/>
      <c r="P967" s="30"/>
      <c r="Q967" s="30"/>
    </row>
    <row r="968" spans="14:17" x14ac:dyDescent="0.3">
      <c r="N968" s="30"/>
      <c r="O968" s="30"/>
      <c r="P968" s="30"/>
      <c r="Q968" s="30"/>
    </row>
    <row r="969" spans="14:17" x14ac:dyDescent="0.3">
      <c r="N969" s="30"/>
      <c r="O969" s="30"/>
      <c r="P969" s="30"/>
      <c r="Q969" s="30"/>
    </row>
    <row r="970" spans="14:17" x14ac:dyDescent="0.3">
      <c r="N970" s="30"/>
      <c r="O970" s="30"/>
      <c r="P970" s="30"/>
      <c r="Q970" s="30"/>
    </row>
    <row r="971" spans="14:17" x14ac:dyDescent="0.3">
      <c r="N971" s="30"/>
      <c r="O971" s="30"/>
      <c r="P971" s="30"/>
      <c r="Q971" s="30"/>
    </row>
    <row r="972" spans="14:17" x14ac:dyDescent="0.3">
      <c r="N972" s="30"/>
      <c r="O972" s="30"/>
      <c r="P972" s="30"/>
      <c r="Q972" s="30"/>
    </row>
    <row r="973" spans="14:17" x14ac:dyDescent="0.3">
      <c r="N973" s="30"/>
      <c r="O973" s="30"/>
      <c r="P973" s="30"/>
      <c r="Q973" s="30"/>
    </row>
    <row r="974" spans="14:17" x14ac:dyDescent="0.3">
      <c r="N974" s="30"/>
      <c r="O974" s="30"/>
      <c r="P974" s="30"/>
      <c r="Q974" s="30"/>
    </row>
    <row r="975" spans="14:17" x14ac:dyDescent="0.3">
      <c r="N975" s="30"/>
      <c r="O975" s="30"/>
      <c r="P975" s="30"/>
      <c r="Q975" s="30"/>
    </row>
    <row r="976" spans="14:17" x14ac:dyDescent="0.3">
      <c r="N976" s="30"/>
      <c r="O976" s="30"/>
      <c r="P976" s="30"/>
      <c r="Q976" s="30"/>
    </row>
    <row r="977" spans="14:17" x14ac:dyDescent="0.3">
      <c r="N977" s="30"/>
      <c r="O977" s="30"/>
      <c r="P977" s="30"/>
      <c r="Q977" s="30"/>
    </row>
    <row r="978" spans="14:17" x14ac:dyDescent="0.3">
      <c r="N978" s="30"/>
      <c r="O978" s="30"/>
      <c r="P978" s="30"/>
      <c r="Q978" s="30"/>
    </row>
    <row r="979" spans="14:17" x14ac:dyDescent="0.3">
      <c r="N979" s="30"/>
      <c r="O979" s="30"/>
      <c r="P979" s="30"/>
      <c r="Q979" s="30"/>
    </row>
    <row r="980" spans="14:17" x14ac:dyDescent="0.3">
      <c r="N980" s="30"/>
      <c r="O980" s="30"/>
      <c r="P980" s="30"/>
      <c r="Q980" s="30"/>
    </row>
    <row r="981" spans="14:17" x14ac:dyDescent="0.3">
      <c r="N981" s="30"/>
      <c r="O981" s="30"/>
      <c r="P981" s="30"/>
      <c r="Q981" s="30"/>
    </row>
    <row r="982" spans="14:17" x14ac:dyDescent="0.3">
      <c r="N982" s="30"/>
      <c r="O982" s="30"/>
      <c r="P982" s="30"/>
      <c r="Q982" s="30"/>
    </row>
    <row r="983" spans="14:17" x14ac:dyDescent="0.3">
      <c r="N983" s="30"/>
      <c r="O983" s="30"/>
      <c r="P983" s="30"/>
      <c r="Q983" s="30"/>
    </row>
    <row r="984" spans="14:17" x14ac:dyDescent="0.3">
      <c r="N984" s="30"/>
      <c r="O984" s="30"/>
      <c r="P984" s="30"/>
      <c r="Q984" s="30"/>
    </row>
    <row r="985" spans="14:17" x14ac:dyDescent="0.3">
      <c r="N985" s="30"/>
      <c r="O985" s="30"/>
      <c r="P985" s="30"/>
      <c r="Q985" s="30"/>
    </row>
    <row r="986" spans="14:17" x14ac:dyDescent="0.3">
      <c r="N986" s="30"/>
      <c r="O986" s="30"/>
      <c r="P986" s="30"/>
      <c r="Q986" s="30"/>
    </row>
    <row r="987" spans="14:17" x14ac:dyDescent="0.3">
      <c r="N987" s="30"/>
      <c r="O987" s="30"/>
      <c r="P987" s="30"/>
      <c r="Q987" s="30"/>
    </row>
    <row r="988" spans="14:17" x14ac:dyDescent="0.3">
      <c r="N988" s="30"/>
      <c r="O988" s="30"/>
      <c r="P988" s="30"/>
      <c r="Q988" s="30"/>
    </row>
    <row r="989" spans="14:17" x14ac:dyDescent="0.3">
      <c r="N989" s="30"/>
      <c r="O989" s="30"/>
      <c r="P989" s="30"/>
      <c r="Q989" s="30"/>
    </row>
    <row r="990" spans="14:17" x14ac:dyDescent="0.3">
      <c r="N990" s="30"/>
      <c r="O990" s="30"/>
      <c r="P990" s="30"/>
      <c r="Q990" s="30"/>
    </row>
    <row r="991" spans="14:17" x14ac:dyDescent="0.3">
      <c r="N991" s="30"/>
      <c r="O991" s="30"/>
      <c r="P991" s="30"/>
      <c r="Q991" s="30"/>
    </row>
    <row r="992" spans="14:17" x14ac:dyDescent="0.3">
      <c r="N992" s="30"/>
      <c r="O992" s="30"/>
      <c r="P992" s="30"/>
      <c r="Q992" s="30"/>
    </row>
    <row r="993" spans="14:17" x14ac:dyDescent="0.3">
      <c r="N993" s="30"/>
      <c r="O993" s="30"/>
      <c r="P993" s="30"/>
      <c r="Q993" s="30"/>
    </row>
    <row r="994" spans="14:17" x14ac:dyDescent="0.3">
      <c r="N994" s="30"/>
      <c r="O994" s="30"/>
      <c r="P994" s="30"/>
      <c r="Q994" s="30"/>
    </row>
    <row r="995" spans="14:17" x14ac:dyDescent="0.3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0000"/>
  </sheetPr>
  <dimension ref="A1:W41"/>
  <sheetViews>
    <sheetView showGridLines="0" showZeros="0" showOutlineSymbols="0" view="pageBreakPreview" zoomScaleSheetLayoutView="100" workbookViewId="0">
      <selection activeCell="D36" sqref="D36"/>
    </sheetView>
  </sheetViews>
  <sheetFormatPr defaultColWidth="6.88671875" defaultRowHeight="13.8" x14ac:dyDescent="0.25"/>
  <cols>
    <col min="1" max="1" width="1.88671875" style="85" customWidth="1"/>
    <col min="2" max="2" width="14.6640625" style="85" customWidth="1"/>
    <col min="3" max="3" width="7.44140625" style="3" customWidth="1"/>
    <col min="4" max="5" width="7.5546875" style="3" customWidth="1"/>
    <col min="6" max="6" width="6.6640625" style="3" customWidth="1"/>
    <col min="7" max="11" width="7.5546875" style="3" customWidth="1"/>
    <col min="12" max="12" width="5.44140625" style="3" customWidth="1"/>
    <col min="13" max="13" width="8.6640625" style="3" customWidth="1"/>
    <col min="14" max="14" width="5.44140625" style="3" customWidth="1"/>
    <col min="15" max="15" width="0.6640625" style="3" customWidth="1"/>
    <col min="16" max="16" width="1.44140625" style="3" hidden="1" customWidth="1"/>
    <col min="17" max="17" width="3.109375" style="3" hidden="1" customWidth="1"/>
    <col min="18" max="18" width="9.33203125" style="3" customWidth="1"/>
    <col min="19" max="19" width="4" style="3" customWidth="1"/>
    <col min="20" max="20" width="1.5546875" style="3" customWidth="1"/>
    <col min="21" max="21" width="6.6640625" style="3" customWidth="1"/>
    <col min="22" max="22" width="7.5546875" style="3" customWidth="1"/>
    <col min="23" max="23" width="3.6640625" style="3" customWidth="1"/>
    <col min="24" max="16384" width="6.88671875" style="3"/>
  </cols>
  <sheetData>
    <row r="1" spans="1:23" ht="19.8" x14ac:dyDescent="0.25">
      <c r="A1" s="648" t="str">
        <f>封面!$A$4</f>
        <v>彰化縣地方教育發展基金－彰化縣秀水鄉馬興國民小學</v>
      </c>
      <c r="B1" s="648"/>
      <c r="C1" s="648"/>
      <c r="D1" s="648"/>
      <c r="E1" s="648"/>
      <c r="F1" s="648"/>
      <c r="G1" s="648"/>
      <c r="H1" s="648"/>
      <c r="I1" s="648"/>
      <c r="J1" s="648"/>
      <c r="K1" s="648"/>
      <c r="L1" s="648"/>
      <c r="M1" s="648"/>
      <c r="N1" s="648"/>
      <c r="O1" s="648"/>
      <c r="P1" s="648"/>
      <c r="Q1" s="648"/>
      <c r="R1" s="648"/>
      <c r="S1" s="648"/>
      <c r="T1" s="648"/>
      <c r="U1" s="648"/>
      <c r="V1" s="647"/>
      <c r="W1" s="647"/>
    </row>
    <row r="2" spans="1:23" ht="19.8" hidden="1" x14ac:dyDescent="0.25">
      <c r="A2" s="82"/>
      <c r="B2" s="8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 x14ac:dyDescent="0.25">
      <c r="S3" s="725"/>
      <c r="T3" s="725"/>
      <c r="U3" s="725"/>
      <c r="V3" s="725"/>
      <c r="W3" s="725"/>
    </row>
    <row r="4" spans="1:23" ht="19.8" x14ac:dyDescent="0.25">
      <c r="A4" s="648" t="s">
        <v>57</v>
      </c>
      <c r="B4" s="648"/>
      <c r="C4" s="648"/>
      <c r="D4" s="648"/>
      <c r="E4" s="648"/>
      <c r="F4" s="648"/>
      <c r="G4" s="648"/>
      <c r="H4" s="648"/>
      <c r="I4" s="648"/>
      <c r="J4" s="648"/>
      <c r="K4" s="648"/>
      <c r="L4" s="648"/>
      <c r="M4" s="648"/>
      <c r="N4" s="648"/>
      <c r="O4" s="648"/>
      <c r="P4" s="648"/>
      <c r="Q4" s="648"/>
      <c r="R4" s="648"/>
      <c r="S4" s="648"/>
      <c r="T4" s="648"/>
      <c r="U4" s="648"/>
      <c r="V4" s="648"/>
      <c r="W4" s="648"/>
    </row>
    <row r="5" spans="1:23" ht="19.5" customHeight="1" x14ac:dyDescent="0.25">
      <c r="A5" s="649" t="str">
        <f>封面!$E$10&amp;封面!$H$10&amp;封面!$I$10&amp;封面!$J$10&amp;封面!$K$10&amp;封面!L10</f>
        <v>中華民國110年12月份</v>
      </c>
      <c r="B5" s="649"/>
      <c r="C5" s="649"/>
      <c r="D5" s="649"/>
      <c r="E5" s="649"/>
      <c r="F5" s="649"/>
      <c r="G5" s="649"/>
      <c r="H5" s="649"/>
      <c r="I5" s="649"/>
      <c r="J5" s="649"/>
      <c r="K5" s="649"/>
      <c r="L5" s="649"/>
      <c r="M5" s="649"/>
      <c r="N5" s="649"/>
      <c r="O5" s="649"/>
      <c r="P5" s="649"/>
      <c r="Q5" s="649"/>
      <c r="R5" s="649"/>
      <c r="S5" s="649"/>
      <c r="T5" s="649"/>
      <c r="U5" s="649"/>
      <c r="V5" s="649"/>
      <c r="W5" s="649"/>
    </row>
    <row r="6" spans="1:23" ht="13.2" hidden="1" x14ac:dyDescent="0.25">
      <c r="A6" s="649"/>
      <c r="B6" s="649"/>
      <c r="C6" s="649"/>
      <c r="D6" s="649"/>
      <c r="E6" s="649"/>
      <c r="F6" s="649"/>
      <c r="G6" s="649"/>
      <c r="H6" s="649"/>
      <c r="I6" s="649"/>
      <c r="J6" s="649"/>
      <c r="K6" s="649"/>
      <c r="L6" s="649"/>
      <c r="M6" s="649"/>
      <c r="N6" s="649"/>
      <c r="O6" s="649"/>
      <c r="P6" s="649"/>
      <c r="Q6" s="649"/>
      <c r="R6" s="649"/>
      <c r="S6" s="649"/>
      <c r="T6" s="649"/>
      <c r="U6" s="649"/>
      <c r="V6" s="649"/>
      <c r="W6" s="649"/>
    </row>
    <row r="7" spans="1:23" s="9" customFormat="1" ht="16.2" x14ac:dyDescent="0.25">
      <c r="A7" s="726" t="s">
        <v>1</v>
      </c>
      <c r="B7" s="726"/>
      <c r="C7" s="726"/>
      <c r="D7" s="726"/>
      <c r="E7" s="726"/>
      <c r="F7" s="726"/>
      <c r="G7" s="726"/>
      <c r="H7" s="726"/>
      <c r="I7" s="726"/>
      <c r="J7" s="726"/>
      <c r="K7" s="726"/>
      <c r="L7" s="726"/>
      <c r="M7" s="726"/>
      <c r="N7" s="726"/>
      <c r="O7" s="726"/>
      <c r="P7" s="726"/>
      <c r="Q7" s="726"/>
      <c r="R7" s="726"/>
      <c r="S7" s="726"/>
      <c r="T7" s="726"/>
      <c r="U7" s="726"/>
      <c r="V7" s="726"/>
      <c r="W7" s="726"/>
    </row>
    <row r="8" spans="1:23" s="15" customFormat="1" hidden="1" x14ac:dyDescent="0.25">
      <c r="A8" s="98"/>
      <c r="B8" s="98"/>
    </row>
    <row r="9" spans="1:23" s="15" customFormat="1" hidden="1" x14ac:dyDescent="0.25">
      <c r="A9" s="98"/>
      <c r="B9" s="98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 x14ac:dyDescent="0.25">
      <c r="A10" s="727" t="s">
        <v>64</v>
      </c>
      <c r="B10" s="736"/>
      <c r="C10" s="727" t="s">
        <v>59</v>
      </c>
      <c r="D10" s="728"/>
      <c r="E10" s="728"/>
      <c r="F10" s="728"/>
      <c r="G10" s="729"/>
      <c r="H10" s="722" t="s">
        <v>60</v>
      </c>
      <c r="I10" s="724" t="s">
        <v>58</v>
      </c>
      <c r="J10" s="710"/>
      <c r="K10" s="710"/>
      <c r="L10" s="710"/>
      <c r="M10" s="710"/>
      <c r="N10" s="710"/>
      <c r="O10" s="710"/>
      <c r="P10" s="724" t="s">
        <v>62</v>
      </c>
      <c r="Q10" s="710"/>
      <c r="R10" s="710"/>
      <c r="S10" s="710"/>
      <c r="T10" s="710"/>
      <c r="U10" s="727" t="s">
        <v>63</v>
      </c>
      <c r="V10" s="728"/>
      <c r="W10" s="729"/>
    </row>
    <row r="11" spans="1:23" s="21" customFormat="1" ht="12.75" hidden="1" customHeight="1" x14ac:dyDescent="0.25">
      <c r="A11" s="737"/>
      <c r="B11" s="738"/>
      <c r="C11" s="730"/>
      <c r="D11" s="731"/>
      <c r="E11" s="731"/>
      <c r="F11" s="731"/>
      <c r="G11" s="732"/>
      <c r="H11" s="712"/>
      <c r="I11" s="710"/>
      <c r="J11" s="710"/>
      <c r="K11" s="710"/>
      <c r="L11" s="710"/>
      <c r="M11" s="710"/>
      <c r="N11" s="710"/>
      <c r="O11" s="710"/>
      <c r="P11" s="710"/>
      <c r="Q11" s="710"/>
      <c r="R11" s="710"/>
      <c r="S11" s="710"/>
      <c r="T11" s="710"/>
      <c r="U11" s="730"/>
      <c r="V11" s="731"/>
      <c r="W11" s="732"/>
    </row>
    <row r="12" spans="1:23" s="22" customFormat="1" ht="12.75" customHeight="1" x14ac:dyDescent="0.25">
      <c r="A12" s="737"/>
      <c r="B12" s="738"/>
      <c r="C12" s="730"/>
      <c r="D12" s="731"/>
      <c r="E12" s="731"/>
      <c r="F12" s="731"/>
      <c r="G12" s="732"/>
      <c r="H12" s="712"/>
      <c r="I12" s="710"/>
      <c r="J12" s="710"/>
      <c r="K12" s="710"/>
      <c r="L12" s="710"/>
      <c r="M12" s="710"/>
      <c r="N12" s="710"/>
      <c r="O12" s="710"/>
      <c r="P12" s="710"/>
      <c r="Q12" s="710"/>
      <c r="R12" s="710"/>
      <c r="S12" s="710"/>
      <c r="T12" s="710"/>
      <c r="U12" s="730"/>
      <c r="V12" s="731"/>
      <c r="W12" s="732"/>
    </row>
    <row r="13" spans="1:23" s="5" customFormat="1" ht="12.75" hidden="1" customHeight="1" x14ac:dyDescent="0.25">
      <c r="A13" s="737"/>
      <c r="B13" s="738"/>
      <c r="C13" s="741"/>
      <c r="D13" s="742"/>
      <c r="E13" s="742"/>
      <c r="F13" s="731"/>
      <c r="G13" s="732"/>
      <c r="H13" s="712"/>
      <c r="I13" s="710"/>
      <c r="J13" s="710"/>
      <c r="K13" s="710"/>
      <c r="L13" s="710"/>
      <c r="M13" s="710"/>
      <c r="N13" s="710"/>
      <c r="O13" s="710"/>
      <c r="P13" s="710"/>
      <c r="Q13" s="710"/>
      <c r="R13" s="710"/>
      <c r="S13" s="710"/>
      <c r="T13" s="710"/>
      <c r="U13" s="730"/>
      <c r="V13" s="731"/>
      <c r="W13" s="732"/>
    </row>
    <row r="14" spans="1:23" s="5" customFormat="1" ht="12.75" customHeight="1" x14ac:dyDescent="0.25">
      <c r="A14" s="737"/>
      <c r="B14" s="738"/>
      <c r="C14" s="743"/>
      <c r="D14" s="744"/>
      <c r="E14" s="744"/>
      <c r="F14" s="734"/>
      <c r="G14" s="653"/>
      <c r="H14" s="712"/>
      <c r="I14" s="710"/>
      <c r="J14" s="710"/>
      <c r="K14" s="710"/>
      <c r="L14" s="710"/>
      <c r="M14" s="710"/>
      <c r="N14" s="710"/>
      <c r="O14" s="710"/>
      <c r="P14" s="710"/>
      <c r="Q14" s="710"/>
      <c r="R14" s="710"/>
      <c r="S14" s="710"/>
      <c r="T14" s="710"/>
      <c r="U14" s="730"/>
      <c r="V14" s="731"/>
      <c r="W14" s="732"/>
    </row>
    <row r="15" spans="1:23" s="5" customFormat="1" ht="12.75" customHeight="1" x14ac:dyDescent="0.25">
      <c r="A15" s="737"/>
      <c r="B15" s="738"/>
      <c r="C15" s="745" t="s">
        <v>328</v>
      </c>
      <c r="D15" s="745" t="s">
        <v>329</v>
      </c>
      <c r="E15" s="745" t="s">
        <v>330</v>
      </c>
      <c r="F15" s="722" t="s">
        <v>65</v>
      </c>
      <c r="G15" s="722" t="s">
        <v>66</v>
      </c>
      <c r="H15" s="712"/>
      <c r="I15" s="724" t="s">
        <v>61</v>
      </c>
      <c r="J15" s="710"/>
      <c r="K15" s="710"/>
      <c r="L15" s="710"/>
      <c r="M15" s="724" t="s">
        <v>13</v>
      </c>
      <c r="N15" s="710"/>
      <c r="O15" s="710"/>
      <c r="P15" s="710"/>
      <c r="Q15" s="710"/>
      <c r="R15" s="710"/>
      <c r="S15" s="710"/>
      <c r="T15" s="710"/>
      <c r="U15" s="730"/>
      <c r="V15" s="731"/>
      <c r="W15" s="732"/>
    </row>
    <row r="16" spans="1:23" s="5" customFormat="1" ht="12.75" customHeight="1" x14ac:dyDescent="0.25">
      <c r="A16" s="737"/>
      <c r="B16" s="738"/>
      <c r="C16" s="746"/>
      <c r="D16" s="746"/>
      <c r="E16" s="746"/>
      <c r="F16" s="746"/>
      <c r="G16" s="712"/>
      <c r="H16" s="712"/>
      <c r="I16" s="710"/>
      <c r="J16" s="710"/>
      <c r="K16" s="710"/>
      <c r="L16" s="710"/>
      <c r="M16" s="710"/>
      <c r="N16" s="710"/>
      <c r="O16" s="710"/>
      <c r="P16" s="710"/>
      <c r="Q16" s="710"/>
      <c r="R16" s="710"/>
      <c r="S16" s="710"/>
      <c r="T16" s="710"/>
      <c r="U16" s="730"/>
      <c r="V16" s="731"/>
      <c r="W16" s="732"/>
    </row>
    <row r="17" spans="1:23" s="5" customFormat="1" ht="12.75" customHeight="1" x14ac:dyDescent="0.25">
      <c r="A17" s="737"/>
      <c r="B17" s="738"/>
      <c r="C17" s="746"/>
      <c r="D17" s="746"/>
      <c r="E17" s="746"/>
      <c r="F17" s="746"/>
      <c r="G17" s="712"/>
      <c r="H17" s="712"/>
      <c r="I17" s="724" t="s">
        <v>68</v>
      </c>
      <c r="J17" s="735" t="s">
        <v>67</v>
      </c>
      <c r="K17" s="724" t="s">
        <v>69</v>
      </c>
      <c r="L17" s="723" t="s">
        <v>70</v>
      </c>
      <c r="M17" s="724" t="s">
        <v>4</v>
      </c>
      <c r="N17" s="723" t="s">
        <v>70</v>
      </c>
      <c r="O17" s="710"/>
      <c r="P17" s="710"/>
      <c r="Q17" s="710"/>
      <c r="R17" s="710"/>
      <c r="S17" s="710"/>
      <c r="T17" s="710"/>
      <c r="U17" s="730"/>
      <c r="V17" s="731"/>
      <c r="W17" s="732"/>
    </row>
    <row r="18" spans="1:23" s="5" customFormat="1" ht="12.75" customHeight="1" x14ac:dyDescent="0.25">
      <c r="A18" s="737"/>
      <c r="B18" s="738"/>
      <c r="C18" s="746"/>
      <c r="D18" s="746"/>
      <c r="E18" s="746"/>
      <c r="F18" s="746"/>
      <c r="G18" s="712"/>
      <c r="H18" s="712"/>
      <c r="I18" s="710"/>
      <c r="J18" s="735"/>
      <c r="K18" s="710"/>
      <c r="L18" s="710"/>
      <c r="M18" s="710"/>
      <c r="N18" s="710"/>
      <c r="O18" s="710"/>
      <c r="P18" s="710"/>
      <c r="Q18" s="710"/>
      <c r="R18" s="710"/>
      <c r="S18" s="710"/>
      <c r="T18" s="710"/>
      <c r="U18" s="730"/>
      <c r="V18" s="731"/>
      <c r="W18" s="732"/>
    </row>
    <row r="19" spans="1:23" s="5" customFormat="1" ht="12.75" hidden="1" customHeight="1" x14ac:dyDescent="0.25">
      <c r="A19" s="737"/>
      <c r="B19" s="738"/>
      <c r="C19" s="433"/>
      <c r="D19" s="433"/>
      <c r="E19" s="433"/>
      <c r="F19" s="343"/>
      <c r="G19" s="712"/>
      <c r="H19" s="712"/>
      <c r="I19" s="710"/>
      <c r="J19" s="735"/>
      <c r="K19" s="710"/>
      <c r="L19" s="710"/>
      <c r="M19" s="710"/>
      <c r="N19" s="710"/>
      <c r="O19" s="710"/>
      <c r="P19" s="710"/>
      <c r="Q19" s="710"/>
      <c r="R19" s="710"/>
      <c r="S19" s="710"/>
      <c r="T19" s="710"/>
      <c r="U19" s="730"/>
      <c r="V19" s="731"/>
      <c r="W19" s="732"/>
    </row>
    <row r="20" spans="1:23" s="5" customFormat="1" ht="12.75" hidden="1" customHeight="1" x14ac:dyDescent="0.25">
      <c r="A20" s="739"/>
      <c r="B20" s="740"/>
      <c r="C20" s="434"/>
      <c r="D20" s="434"/>
      <c r="E20" s="434"/>
      <c r="F20" s="340"/>
      <c r="G20" s="654"/>
      <c r="H20" s="654"/>
      <c r="I20" s="710"/>
      <c r="J20" s="735"/>
      <c r="K20" s="710"/>
      <c r="L20" s="710"/>
      <c r="M20" s="710"/>
      <c r="N20" s="710"/>
      <c r="O20" s="710"/>
      <c r="P20" s="710"/>
      <c r="Q20" s="710"/>
      <c r="R20" s="710"/>
      <c r="S20" s="710"/>
      <c r="T20" s="710"/>
      <c r="U20" s="733"/>
      <c r="V20" s="734"/>
      <c r="W20" s="653"/>
    </row>
    <row r="21" spans="1:23" ht="14.25" customHeight="1" x14ac:dyDescent="0.25">
      <c r="A21" s="99" t="s">
        <v>46</v>
      </c>
      <c r="B21" s="100"/>
      <c r="C21" s="407">
        <f>SUM(C22:C23)</f>
        <v>0</v>
      </c>
      <c r="D21" s="407">
        <f t="shared" ref="D21:J21" si="0">SUM(D22:D23)</f>
        <v>0</v>
      </c>
      <c r="E21" s="407">
        <f t="shared" si="0"/>
        <v>0</v>
      </c>
      <c r="F21" s="408">
        <f t="shared" si="0"/>
        <v>0</v>
      </c>
      <c r="G21" s="408">
        <f>SUM(C21:F21)</f>
        <v>0</v>
      </c>
      <c r="H21" s="408">
        <f t="shared" si="0"/>
        <v>0</v>
      </c>
      <c r="I21" s="408">
        <f t="shared" si="0"/>
        <v>0</v>
      </c>
      <c r="J21" s="408">
        <f t="shared" si="0"/>
        <v>0</v>
      </c>
      <c r="K21" s="408">
        <f>SUM(I21:J21)</f>
        <v>0</v>
      </c>
      <c r="L21" s="409">
        <f>IF(K21=0,0,K21/H21)</f>
        <v>0</v>
      </c>
      <c r="M21" s="408">
        <f>H21-K21</f>
        <v>0</v>
      </c>
      <c r="N21" s="410">
        <f>IF(M21=0,0,M21/H21)</f>
        <v>0</v>
      </c>
      <c r="O21" s="411"/>
      <c r="P21" s="412"/>
      <c r="Q21" s="413"/>
      <c r="R21" s="747"/>
      <c r="S21" s="748"/>
      <c r="T21" s="749"/>
      <c r="U21" s="750"/>
      <c r="V21" s="748"/>
      <c r="W21" s="749"/>
    </row>
    <row r="22" spans="1:23" x14ac:dyDescent="0.25">
      <c r="A22" s="101"/>
      <c r="B22" s="102" t="s">
        <v>46</v>
      </c>
      <c r="C22" s="414"/>
      <c r="D22" s="414"/>
      <c r="E22" s="414"/>
      <c r="F22" s="415"/>
      <c r="G22" s="415">
        <f t="shared" ref="G22:G40" si="1">SUM(C22:F22)</f>
        <v>0</v>
      </c>
      <c r="H22" s="415"/>
      <c r="I22" s="415"/>
      <c r="J22" s="415"/>
      <c r="K22" s="415">
        <f t="shared" ref="K22:K40" si="2">SUM(I22:J22)</f>
        <v>0</v>
      </c>
      <c r="L22" s="416">
        <f t="shared" ref="L22:L40" si="3">IF(K22=0,0,K22/H22)</f>
        <v>0</v>
      </c>
      <c r="M22" s="415">
        <f t="shared" ref="M22:M40" si="4">H22-K22</f>
        <v>0</v>
      </c>
      <c r="N22" s="417">
        <f t="shared" ref="N22:N40" si="5">IF(M22=0,0,M22/H22)</f>
        <v>0</v>
      </c>
      <c r="O22" s="418"/>
      <c r="P22" s="419"/>
      <c r="Q22" s="420"/>
      <c r="R22" s="751"/>
      <c r="S22" s="752"/>
      <c r="T22" s="753"/>
      <c r="U22" s="754"/>
      <c r="V22" s="752"/>
      <c r="W22" s="753"/>
    </row>
    <row r="23" spans="1:23" x14ac:dyDescent="0.25">
      <c r="A23" s="101"/>
      <c r="B23" s="102" t="s">
        <v>51</v>
      </c>
      <c r="C23" s="415"/>
      <c r="D23" s="415"/>
      <c r="E23" s="415"/>
      <c r="F23" s="415"/>
      <c r="G23" s="415">
        <f t="shared" si="1"/>
        <v>0</v>
      </c>
      <c r="H23" s="415"/>
      <c r="I23" s="415"/>
      <c r="J23" s="415"/>
      <c r="K23" s="415">
        <f t="shared" si="2"/>
        <v>0</v>
      </c>
      <c r="L23" s="416">
        <f t="shared" si="3"/>
        <v>0</v>
      </c>
      <c r="M23" s="415">
        <f t="shared" si="4"/>
        <v>0</v>
      </c>
      <c r="N23" s="417">
        <f t="shared" si="5"/>
        <v>0</v>
      </c>
      <c r="O23" s="418"/>
      <c r="P23" s="419"/>
      <c r="Q23" s="420"/>
      <c r="R23" s="751"/>
      <c r="S23" s="752"/>
      <c r="T23" s="753"/>
      <c r="U23" s="754"/>
      <c r="V23" s="752"/>
      <c r="W23" s="753"/>
    </row>
    <row r="24" spans="1:23" ht="14.25" customHeight="1" x14ac:dyDescent="0.25">
      <c r="A24" s="103" t="s">
        <v>47</v>
      </c>
      <c r="B24" s="102"/>
      <c r="C24" s="415">
        <f>SUM(C25:C26)</f>
        <v>0</v>
      </c>
      <c r="D24" s="415">
        <f t="shared" ref="D24" si="6">SUM(D25:D26)</f>
        <v>0</v>
      </c>
      <c r="E24" s="415">
        <f t="shared" ref="E24" si="7">SUM(E25:E26)</f>
        <v>0</v>
      </c>
      <c r="F24" s="415">
        <f t="shared" ref="F24" si="8">SUM(F25:F26)</f>
        <v>0</v>
      </c>
      <c r="G24" s="415">
        <f t="shared" si="1"/>
        <v>0</v>
      </c>
      <c r="H24" s="415">
        <f t="shared" ref="H24" si="9">SUM(H25:H26)</f>
        <v>0</v>
      </c>
      <c r="I24" s="415">
        <f t="shared" ref="I24" si="10">SUM(I25:I26)</f>
        <v>0</v>
      </c>
      <c r="J24" s="415">
        <f t="shared" ref="J24" si="11">SUM(J25:J26)</f>
        <v>0</v>
      </c>
      <c r="K24" s="415">
        <f t="shared" si="2"/>
        <v>0</v>
      </c>
      <c r="L24" s="416">
        <f>IF(K24=0,0,K24/H24)</f>
        <v>0</v>
      </c>
      <c r="M24" s="415">
        <f t="shared" si="4"/>
        <v>0</v>
      </c>
      <c r="N24" s="417">
        <f>IF(M24=0,0,M24/H24)</f>
        <v>0</v>
      </c>
      <c r="O24" s="418"/>
      <c r="P24" s="419"/>
      <c r="Q24" s="420"/>
      <c r="R24" s="751"/>
      <c r="S24" s="752"/>
      <c r="T24" s="753"/>
      <c r="U24" s="754"/>
      <c r="V24" s="752"/>
      <c r="W24" s="753"/>
    </row>
    <row r="25" spans="1:23" x14ac:dyDescent="0.25">
      <c r="A25" s="101"/>
      <c r="B25" s="102" t="s">
        <v>47</v>
      </c>
      <c r="C25" s="415"/>
      <c r="D25" s="415"/>
      <c r="E25" s="415"/>
      <c r="F25" s="415"/>
      <c r="G25" s="415">
        <f t="shared" si="1"/>
        <v>0</v>
      </c>
      <c r="H25" s="415"/>
      <c r="I25" s="415"/>
      <c r="J25" s="415"/>
      <c r="K25" s="415">
        <f t="shared" si="2"/>
        <v>0</v>
      </c>
      <c r="L25" s="416">
        <f t="shared" si="3"/>
        <v>0</v>
      </c>
      <c r="M25" s="415">
        <f t="shared" si="4"/>
        <v>0</v>
      </c>
      <c r="N25" s="417">
        <f t="shared" si="5"/>
        <v>0</v>
      </c>
      <c r="O25" s="418"/>
      <c r="P25" s="419"/>
      <c r="Q25" s="420"/>
      <c r="R25" s="751"/>
      <c r="S25" s="752"/>
      <c r="T25" s="753"/>
      <c r="U25" s="754"/>
      <c r="V25" s="752"/>
      <c r="W25" s="753"/>
    </row>
    <row r="26" spans="1:23" x14ac:dyDescent="0.25">
      <c r="A26" s="101"/>
      <c r="B26" s="102" t="s">
        <v>51</v>
      </c>
      <c r="C26" s="415"/>
      <c r="D26" s="415"/>
      <c r="E26" s="415"/>
      <c r="F26" s="415"/>
      <c r="G26" s="415">
        <f t="shared" si="1"/>
        <v>0</v>
      </c>
      <c r="H26" s="415"/>
      <c r="I26" s="415"/>
      <c r="J26" s="415"/>
      <c r="K26" s="415">
        <f t="shared" si="2"/>
        <v>0</v>
      </c>
      <c r="L26" s="416">
        <f t="shared" si="3"/>
        <v>0</v>
      </c>
      <c r="M26" s="415">
        <f t="shared" si="4"/>
        <v>0</v>
      </c>
      <c r="N26" s="417">
        <f t="shared" si="5"/>
        <v>0</v>
      </c>
      <c r="O26" s="418"/>
      <c r="P26" s="419"/>
      <c r="Q26" s="420"/>
      <c r="R26" s="751"/>
      <c r="S26" s="752"/>
      <c r="T26" s="753"/>
      <c r="U26" s="754"/>
      <c r="V26" s="752"/>
      <c r="W26" s="753"/>
    </row>
    <row r="27" spans="1:23" ht="14.25" customHeight="1" x14ac:dyDescent="0.25">
      <c r="A27" s="103" t="s">
        <v>48</v>
      </c>
      <c r="B27" s="102"/>
      <c r="C27" s="415">
        <f>SUM(C28:C29)</f>
        <v>0</v>
      </c>
      <c r="D27" s="415">
        <f t="shared" ref="D27" si="12">SUM(D28:D29)</f>
        <v>0</v>
      </c>
      <c r="E27" s="415">
        <f t="shared" ref="E27" si="13">SUM(E28:E29)</f>
        <v>0</v>
      </c>
      <c r="F27" s="415">
        <f t="shared" ref="F27" si="14">SUM(F28:F29)</f>
        <v>0</v>
      </c>
      <c r="G27" s="415">
        <f t="shared" si="1"/>
        <v>0</v>
      </c>
      <c r="H27" s="415">
        <f t="shared" ref="H27" si="15">SUM(H28:H29)</f>
        <v>0</v>
      </c>
      <c r="I27" s="415">
        <f t="shared" ref="I27" si="16">SUM(I28:I29)</f>
        <v>0</v>
      </c>
      <c r="J27" s="415">
        <f t="shared" ref="J27" si="17">SUM(J28:J29)</f>
        <v>0</v>
      </c>
      <c r="K27" s="415">
        <f t="shared" si="2"/>
        <v>0</v>
      </c>
      <c r="L27" s="416">
        <f>IF(K27=0,0,K27/H27)</f>
        <v>0</v>
      </c>
      <c r="M27" s="415">
        <f t="shared" si="4"/>
        <v>0</v>
      </c>
      <c r="N27" s="417">
        <f>IF(M27=0,0,M27/H27)</f>
        <v>0</v>
      </c>
      <c r="O27" s="418"/>
      <c r="P27" s="419"/>
      <c r="Q27" s="420"/>
      <c r="R27" s="751"/>
      <c r="S27" s="752"/>
      <c r="T27" s="753"/>
      <c r="U27" s="754"/>
      <c r="V27" s="752"/>
      <c r="W27" s="753"/>
    </row>
    <row r="28" spans="1:23" x14ac:dyDescent="0.25">
      <c r="A28" s="101"/>
      <c r="B28" s="102" t="s">
        <v>48</v>
      </c>
      <c r="C28" s="415"/>
      <c r="D28" s="415"/>
      <c r="E28" s="415"/>
      <c r="F28" s="415"/>
      <c r="G28" s="415">
        <f t="shared" si="1"/>
        <v>0</v>
      </c>
      <c r="H28" s="415"/>
      <c r="I28" s="415"/>
      <c r="J28" s="415"/>
      <c r="K28" s="415">
        <f t="shared" si="2"/>
        <v>0</v>
      </c>
      <c r="L28" s="416">
        <f t="shared" si="3"/>
        <v>0</v>
      </c>
      <c r="M28" s="415">
        <f t="shared" si="4"/>
        <v>0</v>
      </c>
      <c r="N28" s="417">
        <f t="shared" si="5"/>
        <v>0</v>
      </c>
      <c r="O28" s="418"/>
      <c r="P28" s="419"/>
      <c r="Q28" s="420"/>
      <c r="R28" s="751"/>
      <c r="S28" s="752"/>
      <c r="T28" s="753"/>
      <c r="U28" s="754"/>
      <c r="V28" s="752"/>
      <c r="W28" s="753"/>
    </row>
    <row r="29" spans="1:23" x14ac:dyDescent="0.25">
      <c r="A29" s="101"/>
      <c r="B29" s="102" t="s">
        <v>51</v>
      </c>
      <c r="C29" s="415"/>
      <c r="D29" s="415"/>
      <c r="E29" s="415"/>
      <c r="F29" s="415"/>
      <c r="G29" s="415">
        <f t="shared" si="1"/>
        <v>0</v>
      </c>
      <c r="H29" s="415"/>
      <c r="I29" s="415"/>
      <c r="J29" s="415"/>
      <c r="K29" s="415">
        <f t="shared" si="2"/>
        <v>0</v>
      </c>
      <c r="L29" s="416">
        <f t="shared" si="3"/>
        <v>0</v>
      </c>
      <c r="M29" s="415">
        <f t="shared" si="4"/>
        <v>0</v>
      </c>
      <c r="N29" s="417">
        <f t="shared" si="5"/>
        <v>0</v>
      </c>
      <c r="O29" s="418"/>
      <c r="P29" s="419"/>
      <c r="Q29" s="420"/>
      <c r="R29" s="751"/>
      <c r="S29" s="752"/>
      <c r="T29" s="753"/>
      <c r="U29" s="754"/>
      <c r="V29" s="752"/>
      <c r="W29" s="753"/>
    </row>
    <row r="30" spans="1:23" ht="14.25" customHeight="1" x14ac:dyDescent="0.25">
      <c r="A30" s="103" t="s">
        <v>49</v>
      </c>
      <c r="B30" s="102"/>
      <c r="C30" s="415">
        <f>SUM(C31:C32)</f>
        <v>0</v>
      </c>
      <c r="D30" s="415">
        <f t="shared" ref="D30" si="18">SUM(D31:D32)</f>
        <v>0</v>
      </c>
      <c r="E30" s="415">
        <f t="shared" ref="E30" si="19">SUM(E31:E32)</f>
        <v>0</v>
      </c>
      <c r="F30" s="415">
        <f t="shared" ref="F30" si="20">SUM(F31:F32)</f>
        <v>0</v>
      </c>
      <c r="G30" s="415">
        <f t="shared" si="1"/>
        <v>0</v>
      </c>
      <c r="H30" s="415">
        <f t="shared" ref="H30" si="21">SUM(H31:H32)</f>
        <v>0</v>
      </c>
      <c r="I30" s="415">
        <f t="shared" ref="I30" si="22">SUM(I31:I32)</f>
        <v>0</v>
      </c>
      <c r="J30" s="415">
        <f t="shared" ref="J30" si="23">SUM(J31:J32)</f>
        <v>0</v>
      </c>
      <c r="K30" s="415">
        <f t="shared" si="2"/>
        <v>0</v>
      </c>
      <c r="L30" s="416">
        <f>IF(K30=0,0,K30/H30)</f>
        <v>0</v>
      </c>
      <c r="M30" s="415">
        <f t="shared" si="4"/>
        <v>0</v>
      </c>
      <c r="N30" s="417">
        <f>IF(M30=0,0,M30/H30)</f>
        <v>0</v>
      </c>
      <c r="O30" s="418"/>
      <c r="P30" s="419"/>
      <c r="Q30" s="420"/>
      <c r="R30" s="751"/>
      <c r="S30" s="752"/>
      <c r="T30" s="753"/>
      <c r="U30" s="754"/>
      <c r="V30" s="752"/>
      <c r="W30" s="753"/>
    </row>
    <row r="31" spans="1:23" x14ac:dyDescent="0.25">
      <c r="A31" s="101"/>
      <c r="B31" s="102" t="s">
        <v>49</v>
      </c>
      <c r="C31" s="415"/>
      <c r="D31" s="421"/>
      <c r="E31" s="415"/>
      <c r="F31" s="421"/>
      <c r="G31" s="421">
        <f t="shared" si="1"/>
        <v>0</v>
      </c>
      <c r="H31" s="421"/>
      <c r="I31" s="421"/>
      <c r="J31" s="415"/>
      <c r="K31" s="421">
        <f t="shared" si="2"/>
        <v>0</v>
      </c>
      <c r="L31" s="422">
        <f t="shared" si="3"/>
        <v>0</v>
      </c>
      <c r="M31" s="421">
        <f t="shared" si="4"/>
        <v>0</v>
      </c>
      <c r="N31" s="423">
        <f t="shared" si="5"/>
        <v>0</v>
      </c>
      <c r="O31" s="418"/>
      <c r="P31" s="424"/>
      <c r="Q31" s="425"/>
      <c r="R31" s="751"/>
      <c r="S31" s="752"/>
      <c r="T31" s="753"/>
      <c r="U31" s="754"/>
      <c r="V31" s="752"/>
      <c r="W31" s="753"/>
    </row>
    <row r="32" spans="1:23" ht="12.75" customHeight="1" x14ac:dyDescent="0.25">
      <c r="A32" s="101"/>
      <c r="B32" s="102" t="s">
        <v>51</v>
      </c>
      <c r="C32" s="415"/>
      <c r="D32" s="421"/>
      <c r="E32" s="415"/>
      <c r="F32" s="421"/>
      <c r="G32" s="421">
        <f t="shared" si="1"/>
        <v>0</v>
      </c>
      <c r="H32" s="421"/>
      <c r="I32" s="421"/>
      <c r="J32" s="415"/>
      <c r="K32" s="421">
        <f t="shared" si="2"/>
        <v>0</v>
      </c>
      <c r="L32" s="422">
        <f t="shared" si="3"/>
        <v>0</v>
      </c>
      <c r="M32" s="421">
        <f t="shared" si="4"/>
        <v>0</v>
      </c>
      <c r="N32" s="423">
        <f t="shared" si="5"/>
        <v>0</v>
      </c>
      <c r="O32" s="418"/>
      <c r="P32" s="424"/>
      <c r="Q32" s="425"/>
      <c r="R32" s="751"/>
      <c r="S32" s="752"/>
      <c r="T32" s="753"/>
      <c r="U32" s="754"/>
      <c r="V32" s="752"/>
      <c r="W32" s="753"/>
    </row>
    <row r="33" spans="1:23" ht="14.25" customHeight="1" x14ac:dyDescent="0.25">
      <c r="A33" s="101" t="s">
        <v>50</v>
      </c>
      <c r="B33" s="102"/>
      <c r="C33" s="415">
        <f>SUM(C34:C35)</f>
        <v>0</v>
      </c>
      <c r="D33" s="415">
        <f t="shared" ref="D33" si="24">SUM(D34:D35)</f>
        <v>0</v>
      </c>
      <c r="E33" s="415">
        <f t="shared" ref="E33" si="25">SUM(E34:E35)</f>
        <v>0</v>
      </c>
      <c r="F33" s="415">
        <f t="shared" ref="F33" si="26">SUM(F34:F35)</f>
        <v>0</v>
      </c>
      <c r="G33" s="415">
        <f t="shared" si="1"/>
        <v>0</v>
      </c>
      <c r="H33" s="415">
        <f t="shared" ref="H33" si="27">SUM(H34:H35)</f>
        <v>0</v>
      </c>
      <c r="I33" s="415">
        <f t="shared" ref="I33" si="28">SUM(I34:I35)</f>
        <v>0</v>
      </c>
      <c r="J33" s="415">
        <f t="shared" ref="J33" si="29">SUM(J34:J35)</f>
        <v>0</v>
      </c>
      <c r="K33" s="415">
        <f t="shared" si="2"/>
        <v>0</v>
      </c>
      <c r="L33" s="416">
        <f>IF(K33=0,0,K33/H33)</f>
        <v>0</v>
      </c>
      <c r="M33" s="415">
        <f t="shared" si="4"/>
        <v>0</v>
      </c>
      <c r="N33" s="417">
        <f>IF(M33=0,0,M33/H33)</f>
        <v>0</v>
      </c>
      <c r="O33" s="418"/>
      <c r="P33" s="419"/>
      <c r="Q33" s="420"/>
      <c r="R33" s="751"/>
      <c r="S33" s="752"/>
      <c r="T33" s="753"/>
      <c r="U33" s="754"/>
      <c r="V33" s="752"/>
      <c r="W33" s="753"/>
    </row>
    <row r="34" spans="1:23" x14ac:dyDescent="0.25">
      <c r="A34" s="103"/>
      <c r="B34" s="102" t="s">
        <v>50</v>
      </c>
      <c r="C34" s="415"/>
      <c r="D34" s="415"/>
      <c r="E34" s="415"/>
      <c r="F34" s="415"/>
      <c r="G34" s="415">
        <f t="shared" si="1"/>
        <v>0</v>
      </c>
      <c r="H34" s="415"/>
      <c r="I34" s="415"/>
      <c r="J34" s="415"/>
      <c r="K34" s="415">
        <f t="shared" si="2"/>
        <v>0</v>
      </c>
      <c r="L34" s="416">
        <f t="shared" si="3"/>
        <v>0</v>
      </c>
      <c r="M34" s="415">
        <f t="shared" si="4"/>
        <v>0</v>
      </c>
      <c r="N34" s="417">
        <f t="shared" si="5"/>
        <v>0</v>
      </c>
      <c r="O34" s="418"/>
      <c r="P34" s="419"/>
      <c r="Q34" s="420"/>
      <c r="R34" s="751"/>
      <c r="S34" s="752"/>
      <c r="T34" s="753"/>
      <c r="U34" s="754"/>
      <c r="V34" s="752"/>
      <c r="W34" s="753"/>
    </row>
    <row r="35" spans="1:23" x14ac:dyDescent="0.25">
      <c r="A35" s="101"/>
      <c r="B35" s="102" t="s">
        <v>51</v>
      </c>
      <c r="C35" s="415"/>
      <c r="D35" s="415"/>
      <c r="E35" s="415"/>
      <c r="F35" s="415"/>
      <c r="G35" s="415">
        <f t="shared" si="1"/>
        <v>0</v>
      </c>
      <c r="H35" s="415"/>
      <c r="I35" s="415"/>
      <c r="J35" s="415"/>
      <c r="K35" s="415">
        <f t="shared" si="2"/>
        <v>0</v>
      </c>
      <c r="L35" s="416">
        <f t="shared" si="3"/>
        <v>0</v>
      </c>
      <c r="M35" s="415">
        <f t="shared" si="4"/>
        <v>0</v>
      </c>
      <c r="N35" s="417">
        <f t="shared" si="5"/>
        <v>0</v>
      </c>
      <c r="O35" s="418"/>
      <c r="P35" s="419"/>
      <c r="Q35" s="420"/>
      <c r="R35" s="751"/>
      <c r="S35" s="752"/>
      <c r="T35" s="753"/>
      <c r="U35" s="754"/>
      <c r="V35" s="752"/>
      <c r="W35" s="753"/>
    </row>
    <row r="36" spans="1:23" ht="14.25" customHeight="1" x14ac:dyDescent="0.25">
      <c r="A36" s="101" t="s">
        <v>225</v>
      </c>
      <c r="B36" s="102"/>
      <c r="C36" s="415">
        <f>SUM(C37:C38)</f>
        <v>0</v>
      </c>
      <c r="D36" s="415">
        <f t="shared" ref="D36" si="30">SUM(D37:D38)</f>
        <v>0</v>
      </c>
      <c r="E36" s="415">
        <f t="shared" ref="E36" si="31">SUM(E37:E38)</f>
        <v>0</v>
      </c>
      <c r="F36" s="415">
        <f t="shared" ref="F36" si="32">SUM(F37:F38)</f>
        <v>0</v>
      </c>
      <c r="G36" s="415">
        <f t="shared" si="1"/>
        <v>0</v>
      </c>
      <c r="H36" s="415">
        <f t="shared" ref="H36" si="33">SUM(H37:H38)</f>
        <v>0</v>
      </c>
      <c r="I36" s="415">
        <f t="shared" ref="I36" si="34">SUM(I37:I38)</f>
        <v>0</v>
      </c>
      <c r="J36" s="415">
        <f t="shared" ref="J36" si="35">SUM(J37:J38)</f>
        <v>0</v>
      </c>
      <c r="K36" s="415">
        <f t="shared" si="2"/>
        <v>0</v>
      </c>
      <c r="L36" s="416">
        <f>IF(K36=0,0,K36/H36)</f>
        <v>0</v>
      </c>
      <c r="M36" s="415">
        <f t="shared" si="4"/>
        <v>0</v>
      </c>
      <c r="N36" s="417">
        <f>IF(M36=0,0,M36/H36)</f>
        <v>0</v>
      </c>
      <c r="O36" s="418"/>
      <c r="P36" s="419"/>
      <c r="Q36" s="420"/>
      <c r="R36" s="751"/>
      <c r="S36" s="752"/>
      <c r="T36" s="753"/>
      <c r="U36" s="754"/>
      <c r="V36" s="752"/>
      <c r="W36" s="753"/>
    </row>
    <row r="37" spans="1:23" ht="14.25" customHeight="1" x14ac:dyDescent="0.25">
      <c r="A37" s="103"/>
      <c r="B37" s="102" t="s">
        <v>225</v>
      </c>
      <c r="C37" s="415"/>
      <c r="D37" s="421"/>
      <c r="E37" s="415"/>
      <c r="F37" s="421"/>
      <c r="G37" s="421">
        <f t="shared" si="1"/>
        <v>0</v>
      </c>
      <c r="H37" s="421"/>
      <c r="I37" s="421"/>
      <c r="J37" s="415"/>
      <c r="K37" s="421">
        <f t="shared" si="2"/>
        <v>0</v>
      </c>
      <c r="L37" s="422">
        <f t="shared" si="3"/>
        <v>0</v>
      </c>
      <c r="M37" s="415">
        <f t="shared" si="4"/>
        <v>0</v>
      </c>
      <c r="N37" s="417">
        <f t="shared" si="5"/>
        <v>0</v>
      </c>
      <c r="O37" s="418"/>
      <c r="P37" s="419"/>
      <c r="Q37" s="420"/>
      <c r="R37" s="751"/>
      <c r="S37" s="752"/>
      <c r="T37" s="753"/>
      <c r="U37" s="754"/>
      <c r="V37" s="752"/>
      <c r="W37" s="753"/>
    </row>
    <row r="38" spans="1:23" x14ac:dyDescent="0.25">
      <c r="A38" s="101"/>
      <c r="B38" s="102" t="s">
        <v>51</v>
      </c>
      <c r="C38" s="415"/>
      <c r="D38" s="421"/>
      <c r="E38" s="415"/>
      <c r="F38" s="421"/>
      <c r="G38" s="421">
        <f t="shared" si="1"/>
        <v>0</v>
      </c>
      <c r="H38" s="421"/>
      <c r="I38" s="421"/>
      <c r="J38" s="415"/>
      <c r="K38" s="421">
        <f t="shared" si="2"/>
        <v>0</v>
      </c>
      <c r="L38" s="422">
        <f t="shared" si="3"/>
        <v>0</v>
      </c>
      <c r="M38" s="415">
        <f t="shared" si="4"/>
        <v>0</v>
      </c>
      <c r="N38" s="417">
        <f t="shared" si="5"/>
        <v>0</v>
      </c>
      <c r="O38" s="418"/>
      <c r="P38" s="419"/>
      <c r="Q38" s="420"/>
      <c r="R38" s="751"/>
      <c r="S38" s="752"/>
      <c r="T38" s="753"/>
      <c r="U38" s="754"/>
      <c r="V38" s="752"/>
      <c r="W38" s="753"/>
    </row>
    <row r="39" spans="1:23" ht="9.75" customHeight="1" x14ac:dyDescent="0.25">
      <c r="A39" s="101"/>
      <c r="B39" s="102"/>
      <c r="C39" s="415"/>
      <c r="D39" s="415"/>
      <c r="E39" s="415"/>
      <c r="F39" s="415"/>
      <c r="G39" s="415">
        <f t="shared" si="1"/>
        <v>0</v>
      </c>
      <c r="H39" s="415"/>
      <c r="I39" s="415"/>
      <c r="J39" s="415"/>
      <c r="K39" s="415">
        <f t="shared" si="2"/>
        <v>0</v>
      </c>
      <c r="L39" s="416">
        <f t="shared" si="3"/>
        <v>0</v>
      </c>
      <c r="M39" s="415">
        <f t="shared" si="4"/>
        <v>0</v>
      </c>
      <c r="N39" s="417">
        <f t="shared" si="5"/>
        <v>0</v>
      </c>
      <c r="O39" s="418"/>
      <c r="P39" s="419"/>
      <c r="Q39" s="420"/>
      <c r="R39" s="751"/>
      <c r="S39" s="752"/>
      <c r="T39" s="753"/>
      <c r="U39" s="754"/>
      <c r="V39" s="752"/>
      <c r="W39" s="753"/>
    </row>
    <row r="40" spans="1:23" ht="14.25" customHeight="1" x14ac:dyDescent="0.25">
      <c r="A40" s="107" t="s">
        <v>175</v>
      </c>
      <c r="B40" s="104"/>
      <c r="C40" s="426">
        <f>SUM(C21:C39)/2</f>
        <v>0</v>
      </c>
      <c r="D40" s="426">
        <f t="shared" ref="D40:J40" si="36">SUM(D21:D39)/2</f>
        <v>0</v>
      </c>
      <c r="E40" s="426">
        <f t="shared" si="36"/>
        <v>0</v>
      </c>
      <c r="F40" s="426">
        <f t="shared" si="36"/>
        <v>0</v>
      </c>
      <c r="G40" s="426">
        <f t="shared" si="1"/>
        <v>0</v>
      </c>
      <c r="H40" s="426">
        <f t="shared" si="36"/>
        <v>0</v>
      </c>
      <c r="I40" s="426">
        <f t="shared" si="36"/>
        <v>0</v>
      </c>
      <c r="J40" s="426">
        <f t="shared" si="36"/>
        <v>0</v>
      </c>
      <c r="K40" s="427">
        <f t="shared" si="2"/>
        <v>0</v>
      </c>
      <c r="L40" s="428">
        <f t="shared" si="3"/>
        <v>0</v>
      </c>
      <c r="M40" s="426">
        <f t="shared" si="4"/>
        <v>0</v>
      </c>
      <c r="N40" s="429">
        <f t="shared" si="5"/>
        <v>0</v>
      </c>
      <c r="O40" s="430"/>
      <c r="P40" s="431"/>
      <c r="Q40" s="432"/>
      <c r="R40" s="755"/>
      <c r="S40" s="756"/>
      <c r="T40" s="757"/>
      <c r="U40" s="758"/>
      <c r="V40" s="756"/>
      <c r="W40" s="757"/>
    </row>
    <row r="41" spans="1:23" x14ac:dyDescent="0.25">
      <c r="R41" s="13"/>
      <c r="S41" s="13"/>
      <c r="T41" s="13"/>
      <c r="U41" s="13"/>
      <c r="V41" s="13"/>
      <c r="W41" s="13"/>
    </row>
  </sheetData>
  <mergeCells count="64">
    <mergeCell ref="R39:T39"/>
    <mergeCell ref="U39:W39"/>
    <mergeCell ref="R40:T40"/>
    <mergeCell ref="U40:W40"/>
    <mergeCell ref="R36:T36"/>
    <mergeCell ref="U36:W36"/>
    <mergeCell ref="R37:T37"/>
    <mergeCell ref="U37:W37"/>
    <mergeCell ref="R38:T38"/>
    <mergeCell ref="U38:W38"/>
    <mergeCell ref="R33:T33"/>
    <mergeCell ref="U33:W33"/>
    <mergeCell ref="R34:T34"/>
    <mergeCell ref="U34:W34"/>
    <mergeCell ref="R35:T35"/>
    <mergeCell ref="U35:W35"/>
    <mergeCell ref="R30:T30"/>
    <mergeCell ref="U30:W30"/>
    <mergeCell ref="R31:T31"/>
    <mergeCell ref="U31:W31"/>
    <mergeCell ref="R32:T32"/>
    <mergeCell ref="U32:W32"/>
    <mergeCell ref="R27:T27"/>
    <mergeCell ref="U27:W27"/>
    <mergeCell ref="R28:T28"/>
    <mergeCell ref="U28:W28"/>
    <mergeCell ref="R29:T29"/>
    <mergeCell ref="U29:W29"/>
    <mergeCell ref="R24:T24"/>
    <mergeCell ref="U24:W24"/>
    <mergeCell ref="R25:T25"/>
    <mergeCell ref="U25:W25"/>
    <mergeCell ref="R26:T26"/>
    <mergeCell ref="U26:W26"/>
    <mergeCell ref="R21:T21"/>
    <mergeCell ref="U21:W21"/>
    <mergeCell ref="R22:T22"/>
    <mergeCell ref="U22:W22"/>
    <mergeCell ref="R23:T23"/>
    <mergeCell ref="U23:W23"/>
    <mergeCell ref="I15:L16"/>
    <mergeCell ref="A10:B20"/>
    <mergeCell ref="C10:G14"/>
    <mergeCell ref="G15:G20"/>
    <mergeCell ref="C15:C18"/>
    <mergeCell ref="D15:D18"/>
    <mergeCell ref="E15:E18"/>
    <mergeCell ref="F15:F18"/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8671875" defaultRowHeight="12.75" customHeight="1" x14ac:dyDescent="0.25"/>
  <cols>
    <col min="1" max="1" width="1.88671875" style="3" customWidth="1"/>
    <col min="2" max="2" width="26.44140625" style="3" bestFit="1" customWidth="1"/>
    <col min="3" max="3" width="17.88671875" style="3" customWidth="1"/>
    <col min="4" max="4" width="18.109375" style="3" customWidth="1"/>
    <col min="5" max="5" width="18" style="3" customWidth="1"/>
    <col min="6" max="7" width="17.88671875" style="3" customWidth="1"/>
    <col min="8" max="8" width="20.109375" style="3" customWidth="1"/>
    <col min="9" max="9" width="0" style="3" hidden="1" customWidth="1"/>
    <col min="10" max="10" width="7.33203125" style="3" bestFit="1" customWidth="1"/>
    <col min="11" max="11" width="11.109375" style="3" bestFit="1" customWidth="1"/>
    <col min="12" max="12" width="10.44140625" style="3" bestFit="1" customWidth="1"/>
    <col min="13" max="13" width="8.44140625" style="238" bestFit="1" customWidth="1"/>
    <col min="14" max="14" width="9.6640625" style="238" bestFit="1" customWidth="1"/>
    <col min="15" max="15" width="13.33203125" style="239" bestFit="1" customWidth="1"/>
    <col min="16" max="16" width="12.5546875" style="251" customWidth="1"/>
    <col min="17" max="17" width="12.33203125" style="344" bestFit="1" customWidth="1"/>
    <col min="18" max="18" width="12" style="344" customWidth="1"/>
    <col min="19" max="16384" width="6.88671875" style="3"/>
  </cols>
  <sheetData>
    <row r="1" spans="1:16" ht="19.8" x14ac:dyDescent="0.25">
      <c r="A1" s="648" t="str">
        <f>封面!$A$4</f>
        <v>彰化縣地方教育發展基金－彰化縣秀水鄉馬興國民小學</v>
      </c>
      <c r="B1" s="648"/>
      <c r="C1" s="648"/>
      <c r="D1" s="648"/>
      <c r="E1" s="648"/>
      <c r="F1" s="648"/>
      <c r="G1" s="648"/>
      <c r="H1" s="648"/>
    </row>
    <row r="2" spans="1:16" ht="19.5" hidden="1" customHeight="1" x14ac:dyDescent="0.25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 x14ac:dyDescent="0.25"/>
    <row r="4" spans="1:16" ht="22.2" x14ac:dyDescent="0.25">
      <c r="A4" s="665" t="s">
        <v>40</v>
      </c>
      <c r="B4" s="665"/>
      <c r="C4" s="665"/>
      <c r="D4" s="665"/>
      <c r="E4" s="665"/>
      <c r="F4" s="665"/>
      <c r="G4" s="665"/>
      <c r="H4" s="665"/>
    </row>
    <row r="5" spans="1:16" ht="6.75" customHeight="1" x14ac:dyDescent="0.25"/>
    <row r="6" spans="1:16" ht="16.2" x14ac:dyDescent="0.25">
      <c r="A6" s="649" t="str">
        <f>封面!$E$10&amp;封面!$H$10&amp;封面!$I$10&amp;封面!$J$10&amp;封面!$K$10&amp;封面!L10</f>
        <v>中華民國110年12月份</v>
      </c>
      <c r="B6" s="649"/>
      <c r="C6" s="649"/>
      <c r="D6" s="649"/>
      <c r="E6" s="649"/>
      <c r="F6" s="649"/>
      <c r="G6" s="649"/>
      <c r="H6" s="649"/>
    </row>
    <row r="7" spans="1:16" ht="14.25" customHeight="1" x14ac:dyDescent="0.25">
      <c r="A7" s="609" t="s">
        <v>41</v>
      </c>
      <c r="B7" s="609"/>
      <c r="C7" s="609"/>
      <c r="D7" s="609"/>
      <c r="E7" s="609"/>
      <c r="F7" s="609"/>
      <c r="G7" s="609"/>
      <c r="H7" s="609"/>
      <c r="K7" s="151">
        <f t="shared" ref="K7:P7" si="0">K15-K34</f>
        <v>-761342</v>
      </c>
      <c r="L7" s="151">
        <f t="shared" si="0"/>
        <v>-1015711</v>
      </c>
      <c r="M7" s="151">
        <f t="shared" si="0"/>
        <v>159415</v>
      </c>
      <c r="N7" s="151">
        <f t="shared" si="0"/>
        <v>0</v>
      </c>
      <c r="O7" s="151">
        <f t="shared" si="0"/>
        <v>35854059</v>
      </c>
      <c r="P7" s="151">
        <f t="shared" si="0"/>
        <v>-35854059</v>
      </c>
    </row>
    <row r="8" spans="1:16" ht="6.75" hidden="1" customHeight="1" x14ac:dyDescent="0.25"/>
    <row r="9" spans="1:16" ht="9" customHeight="1" x14ac:dyDescent="0.25">
      <c r="A9" s="12"/>
      <c r="B9" s="4"/>
      <c r="C9" s="11"/>
      <c r="D9" s="4"/>
      <c r="E9" s="11"/>
      <c r="F9" s="11"/>
      <c r="G9" s="12"/>
      <c r="H9" s="770" t="s">
        <v>42</v>
      </c>
      <c r="I9" s="150"/>
    </row>
    <row r="10" spans="1:16" ht="14.25" customHeight="1" x14ac:dyDescent="0.25">
      <c r="A10" s="768" t="s">
        <v>43</v>
      </c>
      <c r="B10" s="764"/>
      <c r="C10" s="762" t="s">
        <v>53</v>
      </c>
      <c r="D10" s="764" t="s">
        <v>54</v>
      </c>
      <c r="E10" s="762" t="s">
        <v>55</v>
      </c>
      <c r="F10" s="762" t="s">
        <v>56</v>
      </c>
      <c r="G10" s="768" t="s">
        <v>44</v>
      </c>
      <c r="H10" s="771"/>
      <c r="I10" s="150"/>
      <c r="K10" s="207" t="s">
        <v>195</v>
      </c>
      <c r="L10" s="207" t="s">
        <v>196</v>
      </c>
      <c r="M10" s="759" t="s">
        <v>211</v>
      </c>
      <c r="N10" s="766" t="s">
        <v>224</v>
      </c>
      <c r="O10" s="761" t="s">
        <v>222</v>
      </c>
    </row>
    <row r="11" spans="1:16" ht="13.8" x14ac:dyDescent="0.25">
      <c r="A11" s="769"/>
      <c r="B11" s="765"/>
      <c r="C11" s="763"/>
      <c r="D11" s="765"/>
      <c r="E11" s="763"/>
      <c r="F11" s="763"/>
      <c r="G11" s="769"/>
      <c r="H11" s="772"/>
      <c r="I11" s="150"/>
      <c r="M11" s="760"/>
      <c r="N11" s="767"/>
      <c r="O11" s="760"/>
      <c r="P11" s="252" t="s">
        <v>223</v>
      </c>
    </row>
    <row r="12" spans="1:16" ht="12.75" hidden="1" customHeight="1" x14ac:dyDescent="0.25">
      <c r="H12" s="122"/>
      <c r="I12" s="150"/>
    </row>
    <row r="13" spans="1:16" ht="12.75" hidden="1" customHeight="1" x14ac:dyDescent="0.25">
      <c r="H13" s="14"/>
      <c r="I13" s="14"/>
    </row>
    <row r="14" spans="1:16" ht="12.75" hidden="1" customHeight="1" x14ac:dyDescent="0.25">
      <c r="H14" s="14"/>
      <c r="I14" s="14"/>
    </row>
    <row r="15" spans="1:16" ht="25.5" customHeight="1" x14ac:dyDescent="0.25">
      <c r="A15" s="94" t="s">
        <v>45</v>
      </c>
      <c r="B15" s="95"/>
      <c r="C15" s="227"/>
      <c r="D15" s="227"/>
      <c r="E15" s="227"/>
      <c r="F15" s="227"/>
      <c r="G15" s="273"/>
      <c r="H15" s="227"/>
      <c r="I15" s="14"/>
      <c r="J15" s="151">
        <f>D15-E15-H15</f>
        <v>0</v>
      </c>
      <c r="K15" s="254">
        <f>D15-[5]固定項目!D15</f>
        <v>-761342</v>
      </c>
      <c r="L15" s="254">
        <f>E15-[5]固定項目!E15</f>
        <v>-1015711</v>
      </c>
      <c r="M15" s="254">
        <f>SUM(M18:M36)</f>
        <v>159415</v>
      </c>
      <c r="N15" s="254">
        <f>SUM(N18:N36)</f>
        <v>0</v>
      </c>
      <c r="O15" s="254">
        <f>SUM(O18:O36)</f>
        <v>35854059</v>
      </c>
      <c r="P15" s="257">
        <f>SUM(P18:P36)</f>
        <v>-35854059</v>
      </c>
    </row>
    <row r="16" spans="1:16" ht="21" hidden="1" customHeight="1" x14ac:dyDescent="0.25">
      <c r="A16" s="18"/>
      <c r="B16" s="18"/>
      <c r="C16" s="228"/>
      <c r="D16" s="228"/>
      <c r="E16" s="228"/>
      <c r="F16" s="228"/>
      <c r="G16" s="273"/>
      <c r="H16" s="228"/>
      <c r="I16" s="14"/>
      <c r="J16" s="151">
        <f t="shared" ref="J16:J36" si="1">D16-E16-H16</f>
        <v>0</v>
      </c>
      <c r="K16" s="255">
        <f>D16-[5]固定項目!D16</f>
        <v>0</v>
      </c>
      <c r="L16" s="255">
        <f>E16-[5]固定項目!E16</f>
        <v>0</v>
      </c>
      <c r="P16" s="257"/>
    </row>
    <row r="17" spans="1:18" ht="21" hidden="1" customHeight="1" x14ac:dyDescent="0.25">
      <c r="A17" s="18"/>
      <c r="B17" s="18"/>
      <c r="C17" s="228"/>
      <c r="D17" s="228"/>
      <c r="E17" s="228"/>
      <c r="F17" s="228"/>
      <c r="G17" s="273"/>
      <c r="H17" s="228"/>
      <c r="I17" s="14"/>
      <c r="J17" s="151">
        <f t="shared" si="1"/>
        <v>0</v>
      </c>
      <c r="K17" s="255">
        <f>D17-[5]固定項目!D17</f>
        <v>0</v>
      </c>
      <c r="L17" s="255">
        <f>E17-[5]固定項目!E17</f>
        <v>0</v>
      </c>
      <c r="P17" s="257"/>
    </row>
    <row r="18" spans="1:18" ht="26.25" customHeight="1" x14ac:dyDescent="0.25">
      <c r="A18" s="19"/>
      <c r="B18" s="96" t="s">
        <v>174</v>
      </c>
      <c r="C18" s="228"/>
      <c r="D18" s="228"/>
      <c r="E18" s="228"/>
      <c r="F18" s="228"/>
      <c r="G18" s="273"/>
      <c r="H18" s="228"/>
      <c r="I18" s="14"/>
      <c r="J18" s="151">
        <f t="shared" si="1"/>
        <v>0</v>
      </c>
      <c r="K18" s="255">
        <f>D18-[6]固定項目!D18</f>
        <v>0</v>
      </c>
      <c r="L18" s="255">
        <f>E18-[6]固定項目!E18</f>
        <v>0</v>
      </c>
      <c r="O18" s="256">
        <f>M18-N18+[6]固定項目!O18</f>
        <v>0</v>
      </c>
      <c r="P18" s="257"/>
    </row>
    <row r="19" spans="1:18" ht="21" hidden="1" customHeight="1" x14ac:dyDescent="0.25">
      <c r="A19" s="18"/>
      <c r="B19" s="18"/>
      <c r="C19" s="228"/>
      <c r="D19" s="228"/>
      <c r="E19" s="228"/>
      <c r="F19" s="228"/>
      <c r="G19" s="273"/>
      <c r="H19" s="228"/>
      <c r="I19" s="14"/>
      <c r="J19" s="151">
        <f t="shared" si="1"/>
        <v>0</v>
      </c>
      <c r="K19" s="255">
        <f>D19-[6]固定項目!D20</f>
        <v>0</v>
      </c>
      <c r="L19" s="255">
        <f>E19-[6]固定項目!E20</f>
        <v>0</v>
      </c>
      <c r="O19" s="256">
        <f>M19-N19+[6]固定項目!O20</f>
        <v>0</v>
      </c>
      <c r="P19" s="257"/>
    </row>
    <row r="20" spans="1:18" ht="21" customHeight="1" x14ac:dyDescent="0.25">
      <c r="A20" s="20"/>
      <c r="B20" s="97" t="s">
        <v>46</v>
      </c>
      <c r="C20" s="227"/>
      <c r="D20" s="227"/>
      <c r="E20" s="227"/>
      <c r="F20" s="227"/>
      <c r="G20" s="273"/>
      <c r="H20" s="227"/>
      <c r="I20" s="14"/>
      <c r="J20" s="151">
        <f t="shared" si="1"/>
        <v>0</v>
      </c>
      <c r="K20" s="255">
        <f>D20-[6]固定項目!D21</f>
        <v>0</v>
      </c>
      <c r="L20" s="255">
        <f>E20-[6]固定項目!E21</f>
        <v>0</v>
      </c>
      <c r="O20" s="256">
        <f>M20-N20+[6]固定項目!O21</f>
        <v>0</v>
      </c>
      <c r="P20" s="257">
        <f>C20+D20-E20-O20</f>
        <v>0</v>
      </c>
      <c r="Q20" s="344">
        <v>9760300</v>
      </c>
      <c r="R20" s="345">
        <f>P20-Q20</f>
        <v>-9760300</v>
      </c>
    </row>
    <row r="21" spans="1:18" ht="21" hidden="1" customHeight="1" x14ac:dyDescent="0.25">
      <c r="A21" s="18"/>
      <c r="B21" s="18"/>
      <c r="C21" s="228"/>
      <c r="D21" s="228"/>
      <c r="E21" s="228"/>
      <c r="F21" s="228"/>
      <c r="G21" s="273"/>
      <c r="H21" s="228"/>
      <c r="I21" s="14"/>
      <c r="J21" s="151">
        <f t="shared" si="1"/>
        <v>0</v>
      </c>
      <c r="K21" s="255">
        <f>D21-[6]固定項目!D23</f>
        <v>0</v>
      </c>
      <c r="L21" s="255">
        <f>E21-[6]固定項目!E23</f>
        <v>0</v>
      </c>
      <c r="O21" s="256">
        <f>M21-N21+[6]固定項目!O23</f>
        <v>0</v>
      </c>
      <c r="P21" s="257">
        <f t="shared" ref="P21:P42" si="2">C21+D21-E21-O21</f>
        <v>0</v>
      </c>
      <c r="R21" s="345">
        <f t="shared" ref="R21:R30" si="3">P21-Q21</f>
        <v>0</v>
      </c>
    </row>
    <row r="22" spans="1:18" ht="21" customHeight="1" x14ac:dyDescent="0.25">
      <c r="A22" s="20"/>
      <c r="B22" s="97" t="s">
        <v>47</v>
      </c>
      <c r="C22" s="227"/>
      <c r="D22" s="228"/>
      <c r="E22" s="228"/>
      <c r="F22" s="227"/>
      <c r="G22" s="273"/>
      <c r="H22" s="228"/>
      <c r="I22" s="14"/>
      <c r="J22" s="151">
        <f t="shared" si="1"/>
        <v>0</v>
      </c>
      <c r="K22" s="255">
        <f>D22-[6]固定項目!D24</f>
        <v>-65606</v>
      </c>
      <c r="L22" s="255">
        <f>E22-[6]固定項目!E24</f>
        <v>0</v>
      </c>
      <c r="M22" s="238">
        <v>32803</v>
      </c>
      <c r="O22" s="256">
        <f>M22-N22+[6]固定項目!O24</f>
        <v>2027157</v>
      </c>
      <c r="P22" s="257">
        <f t="shared" si="2"/>
        <v>-2027157</v>
      </c>
      <c r="Q22" s="344">
        <v>3532484</v>
      </c>
      <c r="R22" s="345">
        <f t="shared" si="3"/>
        <v>-5559641</v>
      </c>
    </row>
    <row r="23" spans="1:18" ht="21" hidden="1" customHeight="1" x14ac:dyDescent="0.25">
      <c r="A23" s="18"/>
      <c r="B23" s="18"/>
      <c r="C23" s="228"/>
      <c r="D23" s="228"/>
      <c r="E23" s="228"/>
      <c r="F23" s="228"/>
      <c r="G23" s="273"/>
      <c r="H23" s="228"/>
      <c r="I23" s="14"/>
      <c r="J23" s="151">
        <f t="shared" si="1"/>
        <v>0</v>
      </c>
      <c r="K23" s="255">
        <f>D23-[6]固定項目!D26</f>
        <v>0</v>
      </c>
      <c r="L23" s="255">
        <f>E23-[6]固定項目!E26</f>
        <v>0</v>
      </c>
      <c r="O23" s="256">
        <f>M23-N23+[6]固定項目!O26</f>
        <v>0</v>
      </c>
      <c r="P23" s="257">
        <f t="shared" si="2"/>
        <v>0</v>
      </c>
      <c r="R23" s="345">
        <f t="shared" si="3"/>
        <v>0</v>
      </c>
    </row>
    <row r="24" spans="1:18" ht="21" customHeight="1" x14ac:dyDescent="0.25">
      <c r="A24" s="20"/>
      <c r="B24" s="97" t="s">
        <v>48</v>
      </c>
      <c r="C24" s="227"/>
      <c r="D24" s="228"/>
      <c r="E24" s="227"/>
      <c r="F24" s="227"/>
      <c r="G24" s="273"/>
      <c r="H24" s="227"/>
      <c r="I24" s="14"/>
      <c r="J24" s="151">
        <f t="shared" si="1"/>
        <v>0</v>
      </c>
      <c r="K24" s="255">
        <f>D24-[6]固定項目!D27</f>
        <v>0</v>
      </c>
      <c r="L24" s="255">
        <f>E24-[6]固定項目!E27</f>
        <v>-462500</v>
      </c>
      <c r="M24" s="238">
        <v>83429</v>
      </c>
      <c r="O24" s="256">
        <f>M24-N24+[6]固定項目!O27</f>
        <v>24356499</v>
      </c>
      <c r="P24" s="257">
        <f t="shared" si="2"/>
        <v>-24356499</v>
      </c>
      <c r="Q24" s="344">
        <v>20166512</v>
      </c>
      <c r="R24" s="345">
        <f t="shared" si="3"/>
        <v>-44523011</v>
      </c>
    </row>
    <row r="25" spans="1:18" ht="21" hidden="1" customHeight="1" x14ac:dyDescent="0.25">
      <c r="A25" s="18"/>
      <c r="B25" s="18"/>
      <c r="C25" s="228"/>
      <c r="D25" s="228"/>
      <c r="E25" s="228"/>
      <c r="F25" s="228"/>
      <c r="G25" s="273"/>
      <c r="H25" s="228"/>
      <c r="I25" s="14"/>
      <c r="J25" s="151">
        <f t="shared" si="1"/>
        <v>0</v>
      </c>
      <c r="K25" s="255">
        <f>D25-[6]固定項目!D29</f>
        <v>0</v>
      </c>
      <c r="L25" s="255">
        <f>E25-[6]固定項目!E29</f>
        <v>0</v>
      </c>
      <c r="O25" s="256">
        <f>M25-N25+[6]固定項目!O29</f>
        <v>0</v>
      </c>
      <c r="P25" s="257">
        <f t="shared" si="2"/>
        <v>0</v>
      </c>
      <c r="R25" s="345">
        <f t="shared" si="3"/>
        <v>0</v>
      </c>
    </row>
    <row r="26" spans="1:18" ht="21" customHeight="1" x14ac:dyDescent="0.25">
      <c r="A26" s="20"/>
      <c r="B26" s="97" t="s">
        <v>49</v>
      </c>
      <c r="C26" s="227"/>
      <c r="D26" s="227"/>
      <c r="E26" s="227"/>
      <c r="F26" s="227"/>
      <c r="G26" s="273"/>
      <c r="H26" s="227"/>
      <c r="I26" s="14"/>
      <c r="J26" s="151">
        <f t="shared" si="1"/>
        <v>0</v>
      </c>
      <c r="K26" s="255">
        <f>D26-[6]固定項目!D30</f>
        <v>-112736</v>
      </c>
      <c r="L26" s="255">
        <f>E26-[6]固定項目!E30</f>
        <v>-343611</v>
      </c>
      <c r="M26" s="238">
        <v>24242</v>
      </c>
      <c r="O26" s="256">
        <f>M26-N26+[6]固定項目!O30</f>
        <v>4960805</v>
      </c>
      <c r="P26" s="257">
        <f t="shared" si="2"/>
        <v>-4960805</v>
      </c>
      <c r="Q26" s="344">
        <v>1123223</v>
      </c>
      <c r="R26" s="345">
        <f t="shared" si="3"/>
        <v>-6084028</v>
      </c>
    </row>
    <row r="27" spans="1:18" ht="21" hidden="1" customHeight="1" x14ac:dyDescent="0.25">
      <c r="A27" s="18"/>
      <c r="B27" s="18"/>
      <c r="C27" s="228"/>
      <c r="D27" s="228"/>
      <c r="E27" s="228"/>
      <c r="F27" s="228"/>
      <c r="G27" s="273"/>
      <c r="H27" s="228"/>
      <c r="I27" s="14"/>
      <c r="J27" s="151">
        <f t="shared" si="1"/>
        <v>0</v>
      </c>
      <c r="K27" s="255">
        <f>D27-[6]固定項目!D32</f>
        <v>0</v>
      </c>
      <c r="L27" s="255">
        <f>E27-[6]固定項目!E32</f>
        <v>0</v>
      </c>
      <c r="O27" s="256">
        <f>M27-N27+[6]固定項目!O32</f>
        <v>0</v>
      </c>
      <c r="P27" s="257">
        <f t="shared" si="2"/>
        <v>0</v>
      </c>
      <c r="R27" s="345">
        <f t="shared" si="3"/>
        <v>0</v>
      </c>
    </row>
    <row r="28" spans="1:18" ht="21" customHeight="1" x14ac:dyDescent="0.25">
      <c r="A28" s="20"/>
      <c r="B28" s="97" t="s">
        <v>50</v>
      </c>
      <c r="C28" s="227"/>
      <c r="D28" s="228"/>
      <c r="E28" s="227"/>
      <c r="F28" s="227"/>
      <c r="G28" s="273"/>
      <c r="H28" s="227"/>
      <c r="I28" s="14"/>
      <c r="J28" s="151">
        <f t="shared" si="1"/>
        <v>0</v>
      </c>
      <c r="K28" s="255">
        <f>D28-[6]固定項目!D33</f>
        <v>0</v>
      </c>
      <c r="L28" s="255">
        <f>E28-[6]固定項目!E33</f>
        <v>-98000</v>
      </c>
      <c r="M28" s="238">
        <v>5018</v>
      </c>
      <c r="O28" s="256">
        <f>M28-N28+[6]固定項目!O33</f>
        <v>707188</v>
      </c>
      <c r="P28" s="257">
        <f t="shared" si="2"/>
        <v>-707188</v>
      </c>
      <c r="Q28" s="344">
        <v>148230</v>
      </c>
      <c r="R28" s="345">
        <f t="shared" si="3"/>
        <v>-855418</v>
      </c>
    </row>
    <row r="29" spans="1:18" ht="21" hidden="1" customHeight="1" x14ac:dyDescent="0.25">
      <c r="A29" s="18"/>
      <c r="B29" s="18"/>
      <c r="C29" s="228"/>
      <c r="D29" s="228"/>
      <c r="E29" s="228"/>
      <c r="F29" s="228"/>
      <c r="G29" s="273"/>
      <c r="H29" s="228"/>
      <c r="I29" s="14"/>
      <c r="J29" s="151">
        <f t="shared" si="1"/>
        <v>0</v>
      </c>
      <c r="K29" s="255">
        <f>D29-[6]固定項目!D35</f>
        <v>0</v>
      </c>
      <c r="L29" s="255">
        <f>E29-[6]固定項目!E35</f>
        <v>0</v>
      </c>
      <c r="O29" s="256">
        <f>M29-N29+[6]固定項目!O35</f>
        <v>0</v>
      </c>
      <c r="P29" s="257">
        <f t="shared" si="2"/>
        <v>0</v>
      </c>
      <c r="R29" s="345">
        <f t="shared" si="3"/>
        <v>0</v>
      </c>
    </row>
    <row r="30" spans="1:18" ht="21" customHeight="1" x14ac:dyDescent="0.25">
      <c r="A30" s="20"/>
      <c r="B30" s="97" t="s">
        <v>205</v>
      </c>
      <c r="C30" s="227"/>
      <c r="D30" s="227"/>
      <c r="E30" s="227"/>
      <c r="F30" s="227"/>
      <c r="G30" s="273"/>
      <c r="H30" s="227"/>
      <c r="I30" s="14"/>
      <c r="J30" s="151">
        <f t="shared" si="1"/>
        <v>0</v>
      </c>
      <c r="K30" s="255">
        <f>D30-[6]固定項目!D36</f>
        <v>-596000</v>
      </c>
      <c r="L30" s="255">
        <f>E30-[6]固定項目!E36</f>
        <v>-111600</v>
      </c>
      <c r="M30" s="238">
        <v>13923</v>
      </c>
      <c r="O30" s="256">
        <f>M30-N30+[6]固定項目!O36</f>
        <v>3802410</v>
      </c>
      <c r="P30" s="257">
        <f t="shared" si="2"/>
        <v>-3802410</v>
      </c>
      <c r="Q30" s="344">
        <v>667523</v>
      </c>
      <c r="R30" s="345">
        <f t="shared" si="3"/>
        <v>-4469933</v>
      </c>
    </row>
    <row r="31" spans="1:18" ht="21" hidden="1" customHeight="1" x14ac:dyDescent="0.25">
      <c r="A31" s="18"/>
      <c r="B31" s="18"/>
      <c r="C31" s="228"/>
      <c r="D31" s="228"/>
      <c r="E31" s="228"/>
      <c r="F31" s="228"/>
      <c r="G31" s="273"/>
      <c r="H31" s="228"/>
      <c r="I31" s="14"/>
      <c r="J31" s="151">
        <f t="shared" si="1"/>
        <v>0</v>
      </c>
      <c r="K31" s="255">
        <f>D31-[6]固定項目!D38</f>
        <v>0</v>
      </c>
      <c r="L31" s="255">
        <f>E31-[6]固定項目!E38</f>
        <v>0</v>
      </c>
      <c r="O31" s="256">
        <f>M31-N31+[6]固定項目!O38</f>
        <v>0</v>
      </c>
      <c r="P31" s="251">
        <f t="shared" si="2"/>
        <v>0</v>
      </c>
    </row>
    <row r="32" spans="1:18" ht="21" customHeight="1" x14ac:dyDescent="0.25">
      <c r="A32" s="20"/>
      <c r="B32" s="97" t="s">
        <v>51</v>
      </c>
      <c r="C32" s="228"/>
      <c r="D32" s="228"/>
      <c r="E32" s="228"/>
      <c r="F32" s="228"/>
      <c r="G32" s="273"/>
      <c r="H32" s="228"/>
      <c r="I32" s="14"/>
      <c r="J32" s="151">
        <f t="shared" si="1"/>
        <v>0</v>
      </c>
      <c r="K32" s="255">
        <f>D32-[6]固定項目!D39</f>
        <v>0</v>
      </c>
      <c r="L32" s="255">
        <f>E32-[6]固定項目!E39</f>
        <v>0</v>
      </c>
      <c r="O32" s="256">
        <f>M32-N32+[6]固定項目!O39</f>
        <v>0</v>
      </c>
      <c r="P32" s="251">
        <f t="shared" si="2"/>
        <v>0</v>
      </c>
    </row>
    <row r="33" spans="1:16" ht="21" hidden="1" customHeight="1" x14ac:dyDescent="0.25">
      <c r="A33" s="18"/>
      <c r="B33" s="18"/>
      <c r="C33" s="228"/>
      <c r="D33" s="228"/>
      <c r="E33" s="228"/>
      <c r="F33" s="228"/>
      <c r="G33" s="273"/>
      <c r="H33" s="228"/>
      <c r="I33" s="14"/>
      <c r="J33" s="151">
        <f t="shared" si="1"/>
        <v>0</v>
      </c>
      <c r="K33" s="255">
        <f>D33-[6]固定項目!D41</f>
        <v>0</v>
      </c>
      <c r="L33" s="255">
        <f>E33-[6]固定項目!E41</f>
        <v>0</v>
      </c>
      <c r="O33" s="256">
        <f>M33-N33+[6]固定項目!O41</f>
        <v>0</v>
      </c>
      <c r="P33" s="251">
        <f t="shared" si="2"/>
        <v>0</v>
      </c>
    </row>
    <row r="34" spans="1:16" ht="21" customHeight="1" x14ac:dyDescent="0.25">
      <c r="A34" s="20"/>
      <c r="B34" s="97" t="s">
        <v>206</v>
      </c>
      <c r="C34" s="227"/>
      <c r="D34" s="228"/>
      <c r="E34" s="228"/>
      <c r="F34" s="227"/>
      <c r="G34" s="273"/>
      <c r="H34" s="228"/>
      <c r="I34" s="14"/>
      <c r="J34" s="151">
        <f t="shared" si="1"/>
        <v>0</v>
      </c>
      <c r="K34" s="255">
        <f>D34-[6]固定項目!D42</f>
        <v>0</v>
      </c>
      <c r="L34" s="255">
        <f>E34-[6]固定項目!E42</f>
        <v>0</v>
      </c>
      <c r="M34" s="253"/>
      <c r="N34" s="253">
        <f>E34</f>
        <v>0</v>
      </c>
      <c r="O34" s="256">
        <f>M34-N34+[6]固定項目!O42</f>
        <v>0</v>
      </c>
      <c r="P34" s="251">
        <f t="shared" si="2"/>
        <v>0</v>
      </c>
    </row>
    <row r="35" spans="1:16" ht="21" hidden="1" customHeight="1" x14ac:dyDescent="0.25">
      <c r="A35" s="18"/>
      <c r="B35" s="18"/>
      <c r="C35" s="228"/>
      <c r="D35" s="228"/>
      <c r="E35" s="228"/>
      <c r="F35" s="228"/>
      <c r="G35" s="273"/>
      <c r="H35" s="228"/>
      <c r="I35" s="14"/>
      <c r="J35" s="151">
        <f t="shared" si="1"/>
        <v>0</v>
      </c>
      <c r="K35" s="255">
        <f>D35-[6]固定項目!D44</f>
        <v>0</v>
      </c>
      <c r="L35" s="255">
        <f>E35-[6]固定項目!E44</f>
        <v>0</v>
      </c>
      <c r="O35" s="256">
        <f>M35-N35+[6]固定項目!O44</f>
        <v>0</v>
      </c>
      <c r="P35" s="251">
        <f t="shared" si="2"/>
        <v>0</v>
      </c>
    </row>
    <row r="36" spans="1:16" ht="21" customHeight="1" x14ac:dyDescent="0.25">
      <c r="A36" s="20"/>
      <c r="B36" s="97" t="s">
        <v>52</v>
      </c>
      <c r="C36" s="228"/>
      <c r="D36" s="228"/>
      <c r="E36" s="228"/>
      <c r="F36" s="228"/>
      <c r="G36" s="274"/>
      <c r="H36" s="228"/>
      <c r="I36" s="14"/>
      <c r="J36" s="151">
        <f t="shared" si="1"/>
        <v>0</v>
      </c>
      <c r="K36" s="255">
        <f>D36-[6]固定項目!D45</f>
        <v>0</v>
      </c>
      <c r="L36" s="255">
        <f>E36-[6]固定項目!E45</f>
        <v>0</v>
      </c>
      <c r="O36" s="256">
        <f>M36-N36+[6]固定項目!O45</f>
        <v>0</v>
      </c>
      <c r="P36" s="251">
        <f t="shared" si="2"/>
        <v>0</v>
      </c>
    </row>
    <row r="37" spans="1:16" ht="21" hidden="1" customHeight="1" x14ac:dyDescent="0.25">
      <c r="A37" s="233"/>
      <c r="B37" s="234"/>
      <c r="C37" s="14"/>
      <c r="D37" s="14"/>
      <c r="E37" s="14"/>
      <c r="F37" s="14"/>
      <c r="G37" s="275"/>
      <c r="H37" s="14"/>
      <c r="O37" s="256">
        <f>M37-N37+[6]固定項目!O47</f>
        <v>0</v>
      </c>
      <c r="P37" s="251">
        <f t="shared" si="2"/>
        <v>0</v>
      </c>
    </row>
    <row r="38" spans="1:16" ht="21" customHeight="1" x14ac:dyDescent="0.25">
      <c r="A38" s="233"/>
      <c r="B38" s="235" t="s">
        <v>207</v>
      </c>
      <c r="C38" s="14"/>
      <c r="D38" s="14"/>
      <c r="E38" s="14"/>
      <c r="F38" s="14"/>
      <c r="G38" s="275"/>
      <c r="H38" s="14"/>
      <c r="O38" s="256">
        <f>M38-N38+[6]固定項目!O48</f>
        <v>0</v>
      </c>
      <c r="P38" s="251">
        <f t="shared" si="2"/>
        <v>0</v>
      </c>
    </row>
    <row r="39" spans="1:16" ht="21" hidden="1" customHeight="1" x14ac:dyDescent="0.25">
      <c r="A39" s="233"/>
      <c r="B39" s="234"/>
      <c r="C39" s="14"/>
      <c r="D39" s="14"/>
      <c r="E39" s="14"/>
      <c r="F39" s="14"/>
      <c r="G39" s="275"/>
      <c r="H39" s="14"/>
      <c r="O39" s="256">
        <f>M39-N39+[6]固定項目!O50</f>
        <v>0</v>
      </c>
      <c r="P39" s="251">
        <f t="shared" si="2"/>
        <v>0</v>
      </c>
    </row>
    <row r="40" spans="1:16" ht="21" customHeight="1" x14ac:dyDescent="0.25">
      <c r="A40" s="233"/>
      <c r="B40" s="235" t="s">
        <v>208</v>
      </c>
      <c r="C40" s="14"/>
      <c r="D40" s="14"/>
      <c r="E40" s="14"/>
      <c r="F40" s="14"/>
      <c r="G40" s="275"/>
      <c r="H40" s="14"/>
      <c r="O40" s="256">
        <f>M40-N40+[6]固定項目!O51</f>
        <v>0</v>
      </c>
      <c r="P40" s="251">
        <f t="shared" si="2"/>
        <v>0</v>
      </c>
    </row>
    <row r="41" spans="1:16" ht="21" hidden="1" customHeight="1" x14ac:dyDescent="0.25">
      <c r="A41" s="233"/>
      <c r="B41" s="234"/>
      <c r="C41" s="14"/>
      <c r="D41" s="14"/>
      <c r="E41" s="14"/>
      <c r="F41" s="14"/>
      <c r="G41" s="275"/>
      <c r="H41" s="14"/>
      <c r="O41" s="256">
        <f>M41-N41+[6]固定項目!O53</f>
        <v>0</v>
      </c>
      <c r="P41" s="251">
        <f t="shared" si="2"/>
        <v>0</v>
      </c>
    </row>
    <row r="42" spans="1:16" ht="21" customHeight="1" x14ac:dyDescent="0.25">
      <c r="A42" s="233"/>
      <c r="B42" s="236" t="s">
        <v>209</v>
      </c>
      <c r="C42" s="14"/>
      <c r="D42" s="14"/>
      <c r="E42" s="14"/>
      <c r="F42" s="14"/>
      <c r="G42" s="275"/>
      <c r="H42" s="14"/>
      <c r="O42" s="256">
        <f>M42-N42+[6]固定項目!O54</f>
        <v>0</v>
      </c>
      <c r="P42" s="251">
        <f t="shared" si="2"/>
        <v>0</v>
      </c>
    </row>
    <row r="43" spans="1:16" ht="12.75" hidden="1" customHeight="1" x14ac:dyDescent="0.25"/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34998626667073579"/>
  </sheetPr>
  <dimension ref="A1:P48"/>
  <sheetViews>
    <sheetView view="pageBreakPreview" zoomScaleSheetLayoutView="100" workbookViewId="0">
      <selection activeCell="G5" sqref="G5:L5"/>
    </sheetView>
  </sheetViews>
  <sheetFormatPr defaultColWidth="9.109375" defaultRowHeight="13.2" x14ac:dyDescent="0.25"/>
  <cols>
    <col min="1" max="1" width="8" style="288" bestFit="1" customWidth="1"/>
    <col min="2" max="2" width="49.6640625" style="288" customWidth="1"/>
    <col min="3" max="3" width="5.5546875" style="321" bestFit="1" customWidth="1"/>
    <col min="4" max="5" width="4.33203125" style="321" bestFit="1" customWidth="1"/>
    <col min="6" max="6" width="14.6640625" style="321" bestFit="1" customWidth="1"/>
    <col min="7" max="9" width="11.44140625" style="289" bestFit="1" customWidth="1"/>
    <col min="10" max="10" width="11.33203125" style="289" bestFit="1" customWidth="1"/>
    <col min="11" max="11" width="11.33203125" style="289" customWidth="1"/>
    <col min="12" max="12" width="11.44140625" style="289" bestFit="1" customWidth="1"/>
    <col min="13" max="13" width="15" style="289" customWidth="1"/>
    <col min="14" max="14" width="14" style="288" bestFit="1" customWidth="1"/>
    <col min="15" max="15" width="15" style="288" customWidth="1"/>
    <col min="16" max="16" width="12.44140625" style="288" customWidth="1"/>
    <col min="17" max="16384" width="9.109375" style="288"/>
  </cols>
  <sheetData>
    <row r="1" spans="1:13" ht="22.2" x14ac:dyDescent="0.4">
      <c r="B1" s="781" t="s">
        <v>300</v>
      </c>
      <c r="C1" s="781"/>
      <c r="D1" s="781"/>
      <c r="E1" s="781"/>
      <c r="F1" s="781"/>
      <c r="G1" s="781"/>
      <c r="H1" s="781"/>
      <c r="I1" s="781"/>
      <c r="J1" s="781"/>
      <c r="K1" s="781"/>
      <c r="L1" s="781"/>
    </row>
    <row r="2" spans="1:13" ht="22.2" x14ac:dyDescent="0.4">
      <c r="B2" s="781" t="s">
        <v>241</v>
      </c>
      <c r="C2" s="781"/>
      <c r="D2" s="781"/>
      <c r="E2" s="781"/>
      <c r="F2" s="781"/>
      <c r="G2" s="781"/>
      <c r="H2" s="781"/>
      <c r="I2" s="781"/>
      <c r="J2" s="781"/>
      <c r="K2" s="781"/>
      <c r="L2" s="781"/>
    </row>
    <row r="3" spans="1:13" ht="22.2" x14ac:dyDescent="0.4">
      <c r="B3" s="781" t="s">
        <v>242</v>
      </c>
      <c r="C3" s="781"/>
      <c r="D3" s="781"/>
      <c r="E3" s="781"/>
      <c r="F3" s="781"/>
      <c r="G3" s="781"/>
      <c r="H3" s="781"/>
      <c r="I3" s="781"/>
      <c r="J3" s="781"/>
      <c r="K3" s="781"/>
      <c r="L3" s="781"/>
    </row>
    <row r="4" spans="1:13" ht="22.2" x14ac:dyDescent="0.4">
      <c r="B4" s="290" t="s">
        <v>316</v>
      </c>
      <c r="C4" s="291"/>
      <c r="D4" s="291"/>
      <c r="E4" s="291"/>
      <c r="F4" s="291"/>
      <c r="G4" s="292"/>
      <c r="H4" s="292"/>
      <c r="I4" s="292"/>
      <c r="J4" s="782" t="s">
        <v>317</v>
      </c>
      <c r="K4" s="783"/>
      <c r="L4" s="784"/>
    </row>
    <row r="5" spans="1:13" ht="16.2" x14ac:dyDescent="0.25">
      <c r="A5" s="785" t="s">
        <v>243</v>
      </c>
      <c r="B5" s="786"/>
      <c r="C5" s="789" t="s">
        <v>244</v>
      </c>
      <c r="D5" s="789"/>
      <c r="E5" s="789"/>
      <c r="F5" s="790" t="s">
        <v>245</v>
      </c>
      <c r="G5" s="792" t="s">
        <v>246</v>
      </c>
      <c r="H5" s="793"/>
      <c r="I5" s="793"/>
      <c r="J5" s="793"/>
      <c r="K5" s="793"/>
      <c r="L5" s="794"/>
    </row>
    <row r="6" spans="1:13" ht="39.75" customHeight="1" x14ac:dyDescent="0.25">
      <c r="A6" s="787"/>
      <c r="B6" s="788"/>
      <c r="C6" s="287" t="s">
        <v>247</v>
      </c>
      <c r="D6" s="287" t="s">
        <v>248</v>
      </c>
      <c r="E6" s="287" t="s">
        <v>249</v>
      </c>
      <c r="F6" s="791"/>
      <c r="G6" s="293" t="s">
        <v>293</v>
      </c>
      <c r="H6" s="293" t="s">
        <v>294</v>
      </c>
      <c r="I6" s="293" t="s">
        <v>295</v>
      </c>
      <c r="J6" s="293" t="s">
        <v>296</v>
      </c>
      <c r="K6" s="293" t="s">
        <v>297</v>
      </c>
      <c r="L6" s="293" t="s">
        <v>298</v>
      </c>
    </row>
    <row r="7" spans="1:13" ht="22.2" x14ac:dyDescent="0.25">
      <c r="A7" s="775" t="s">
        <v>250</v>
      </c>
      <c r="B7" s="776"/>
      <c r="C7" s="287"/>
      <c r="D7" s="287"/>
      <c r="E7" s="287"/>
      <c r="F7" s="294"/>
      <c r="G7" s="795">
        <f>SUM(G8:L8)</f>
        <v>0</v>
      </c>
      <c r="H7" s="796"/>
      <c r="I7" s="796"/>
      <c r="J7" s="796"/>
      <c r="K7" s="796"/>
      <c r="L7" s="797"/>
    </row>
    <row r="8" spans="1:13" ht="16.2" x14ac:dyDescent="0.3">
      <c r="A8" s="775" t="s">
        <v>251</v>
      </c>
      <c r="B8" s="776"/>
      <c r="C8" s="295"/>
      <c r="D8" s="295"/>
      <c r="E8" s="295"/>
      <c r="F8" s="296"/>
      <c r="G8" s="297">
        <f>勾稽!D22</f>
        <v>0</v>
      </c>
      <c r="H8" s="297">
        <f>勾稽!D23</f>
        <v>-5</v>
      </c>
      <c r="I8" s="297">
        <f>勾稽!D24</f>
        <v>0</v>
      </c>
      <c r="J8" s="297">
        <f>勾稽!D25</f>
        <v>0</v>
      </c>
      <c r="K8" s="297">
        <f>勾稽!D26</f>
        <v>0</v>
      </c>
      <c r="L8" s="297">
        <f>勾稽!D27</f>
        <v>5</v>
      </c>
    </row>
    <row r="9" spans="1:13" ht="16.2" x14ac:dyDescent="0.3">
      <c r="A9" s="775" t="s">
        <v>252</v>
      </c>
      <c r="B9" s="776"/>
      <c r="C9" s="298"/>
      <c r="D9" s="298"/>
      <c r="E9" s="298"/>
      <c r="F9" s="296"/>
      <c r="G9" s="299">
        <f t="shared" ref="G9:J9" si="0">SUM(G10:G12)</f>
        <v>0</v>
      </c>
      <c r="H9" s="299">
        <f t="shared" si="0"/>
        <v>0</v>
      </c>
      <c r="I9" s="299">
        <f t="shared" si="0"/>
        <v>0</v>
      </c>
      <c r="J9" s="299">
        <f t="shared" si="0"/>
        <v>0</v>
      </c>
      <c r="K9" s="299"/>
      <c r="L9" s="299">
        <f>SUM(L10:L12)</f>
        <v>0</v>
      </c>
      <c r="M9" s="300"/>
    </row>
    <row r="10" spans="1:13" ht="16.2" x14ac:dyDescent="0.3">
      <c r="A10" s="330" t="s">
        <v>253</v>
      </c>
      <c r="B10" s="331"/>
      <c r="C10" s="298"/>
      <c r="D10" s="298"/>
      <c r="E10" s="298"/>
      <c r="F10" s="296"/>
      <c r="G10" s="301"/>
      <c r="H10" s="301"/>
      <c r="I10" s="301"/>
      <c r="J10" s="301"/>
      <c r="K10" s="301"/>
      <c r="L10" s="301"/>
      <c r="M10" s="300"/>
    </row>
    <row r="11" spans="1:13" ht="16.2" x14ac:dyDescent="0.3">
      <c r="A11" s="330" t="s">
        <v>254</v>
      </c>
      <c r="B11" s="331"/>
      <c r="C11" s="298"/>
      <c r="D11" s="298"/>
      <c r="E11" s="298"/>
      <c r="F11" s="296"/>
      <c r="G11" s="301"/>
      <c r="H11" s="301"/>
      <c r="I11" s="301"/>
      <c r="J11" s="301"/>
      <c r="K11" s="301"/>
      <c r="L11" s="301"/>
      <c r="M11" s="300"/>
    </row>
    <row r="12" spans="1:13" ht="16.2" x14ac:dyDescent="0.3">
      <c r="A12" s="330" t="s">
        <v>255</v>
      </c>
      <c r="B12" s="331"/>
      <c r="C12" s="298"/>
      <c r="D12" s="298"/>
      <c r="E12" s="298"/>
      <c r="F12" s="296"/>
      <c r="G12" s="301"/>
      <c r="H12" s="301"/>
      <c r="I12" s="301"/>
      <c r="J12" s="301"/>
      <c r="K12" s="301"/>
      <c r="L12" s="301"/>
      <c r="M12" s="300"/>
    </row>
    <row r="13" spans="1:13" ht="16.2" x14ac:dyDescent="0.3">
      <c r="A13" s="773" t="s">
        <v>256</v>
      </c>
      <c r="B13" s="776"/>
      <c r="C13" s="298"/>
      <c r="D13" s="298"/>
      <c r="E13" s="298"/>
      <c r="F13" s="296"/>
      <c r="G13" s="302">
        <f t="shared" ref="G13:J13" si="1">SUM(G14:G33)</f>
        <v>0</v>
      </c>
      <c r="H13" s="302">
        <f t="shared" si="1"/>
        <v>0</v>
      </c>
      <c r="I13" s="302">
        <f t="shared" si="1"/>
        <v>0</v>
      </c>
      <c r="J13" s="302">
        <f t="shared" si="1"/>
        <v>0</v>
      </c>
      <c r="K13" s="302"/>
      <c r="L13" s="302">
        <f>SUM(L14:L33)</f>
        <v>0</v>
      </c>
    </row>
    <row r="14" spans="1:13" ht="16.2" x14ac:dyDescent="0.3">
      <c r="A14" s="330" t="s">
        <v>253</v>
      </c>
      <c r="B14" s="331"/>
      <c r="C14" s="303"/>
      <c r="D14" s="303"/>
      <c r="E14" s="303"/>
      <c r="F14" s="296"/>
      <c r="G14" s="304"/>
      <c r="H14" s="304"/>
      <c r="I14" s="304"/>
      <c r="J14" s="304"/>
      <c r="K14" s="304"/>
      <c r="L14" s="304"/>
    </row>
    <row r="15" spans="1:13" ht="16.2" x14ac:dyDescent="0.3">
      <c r="A15" s="330" t="s">
        <v>254</v>
      </c>
      <c r="B15" s="331"/>
      <c r="C15" s="303"/>
      <c r="D15" s="303"/>
      <c r="E15" s="303"/>
      <c r="F15" s="305"/>
      <c r="G15" s="304"/>
      <c r="H15" s="304"/>
      <c r="I15" s="304"/>
      <c r="J15" s="304"/>
      <c r="K15" s="304"/>
      <c r="L15" s="304"/>
    </row>
    <row r="16" spans="1:13" ht="16.2" x14ac:dyDescent="0.3">
      <c r="A16" s="330" t="s">
        <v>255</v>
      </c>
      <c r="B16" s="331"/>
      <c r="C16" s="303"/>
      <c r="D16" s="303"/>
      <c r="E16" s="303"/>
      <c r="F16" s="296"/>
      <c r="G16" s="304"/>
      <c r="H16" s="304"/>
      <c r="I16" s="304"/>
      <c r="J16" s="304"/>
      <c r="K16" s="304"/>
      <c r="L16" s="304"/>
    </row>
    <row r="17" spans="1:13" ht="16.2" x14ac:dyDescent="0.3">
      <c r="A17" s="330" t="s">
        <v>257</v>
      </c>
      <c r="B17" s="331"/>
      <c r="C17" s="303"/>
      <c r="D17" s="303"/>
      <c r="E17" s="303"/>
      <c r="F17" s="296"/>
      <c r="G17" s="304"/>
      <c r="H17" s="304"/>
      <c r="I17" s="304"/>
      <c r="J17" s="304"/>
      <c r="K17" s="304"/>
      <c r="L17" s="304"/>
      <c r="M17" s="288"/>
    </row>
    <row r="18" spans="1:13" ht="16.2" x14ac:dyDescent="0.3">
      <c r="A18" s="330" t="s">
        <v>258</v>
      </c>
      <c r="B18" s="331"/>
      <c r="C18" s="303"/>
      <c r="D18" s="303"/>
      <c r="E18" s="303"/>
      <c r="F18" s="296"/>
      <c r="G18" s="304"/>
      <c r="H18" s="304"/>
      <c r="I18" s="304"/>
      <c r="J18" s="304"/>
      <c r="K18" s="304"/>
      <c r="L18" s="304"/>
      <c r="M18" s="288"/>
    </row>
    <row r="19" spans="1:13" ht="16.2" x14ac:dyDescent="0.3">
      <c r="A19" s="330" t="s">
        <v>259</v>
      </c>
      <c r="B19" s="331"/>
      <c r="C19" s="303"/>
      <c r="D19" s="303"/>
      <c r="E19" s="303"/>
      <c r="F19" s="296"/>
      <c r="G19" s="304"/>
      <c r="H19" s="304"/>
      <c r="I19" s="304"/>
      <c r="J19" s="304"/>
      <c r="K19" s="304"/>
      <c r="L19" s="304"/>
      <c r="M19" s="288"/>
    </row>
    <row r="20" spans="1:13" ht="16.2" x14ac:dyDescent="0.3">
      <c r="A20" s="330" t="s">
        <v>260</v>
      </c>
      <c r="B20" s="331"/>
      <c r="C20" s="303"/>
      <c r="D20" s="303"/>
      <c r="E20" s="303"/>
      <c r="F20" s="296"/>
      <c r="G20" s="304"/>
      <c r="H20" s="304"/>
      <c r="I20" s="304"/>
      <c r="J20" s="304"/>
      <c r="K20" s="304"/>
      <c r="L20" s="304"/>
      <c r="M20" s="288"/>
    </row>
    <row r="21" spans="1:13" ht="16.2" x14ac:dyDescent="0.3">
      <c r="A21" s="330" t="s">
        <v>261</v>
      </c>
      <c r="B21" s="331"/>
      <c r="C21" s="303"/>
      <c r="D21" s="303"/>
      <c r="E21" s="303"/>
      <c r="F21" s="296"/>
      <c r="G21" s="304"/>
      <c r="H21" s="304"/>
      <c r="I21" s="304"/>
      <c r="J21" s="304"/>
      <c r="K21" s="304"/>
      <c r="L21" s="304"/>
      <c r="M21" s="288"/>
    </row>
    <row r="22" spans="1:13" ht="16.2" x14ac:dyDescent="0.3">
      <c r="A22" s="330" t="s">
        <v>262</v>
      </c>
      <c r="B22" s="331"/>
      <c r="C22" s="303"/>
      <c r="D22" s="303"/>
      <c r="E22" s="303"/>
      <c r="F22" s="296"/>
      <c r="G22" s="304"/>
      <c r="H22" s="304"/>
      <c r="I22" s="304"/>
      <c r="J22" s="304"/>
      <c r="K22" s="304"/>
      <c r="L22" s="304"/>
      <c r="M22" s="288"/>
    </row>
    <row r="23" spans="1:13" ht="16.2" x14ac:dyDescent="0.3">
      <c r="A23" s="330" t="s">
        <v>263</v>
      </c>
      <c r="B23" s="331"/>
      <c r="C23" s="303"/>
      <c r="D23" s="303"/>
      <c r="E23" s="303"/>
      <c r="F23" s="296"/>
      <c r="G23" s="304"/>
      <c r="H23" s="304"/>
      <c r="I23" s="304"/>
      <c r="J23" s="304"/>
      <c r="K23" s="304"/>
      <c r="L23" s="304"/>
      <c r="M23" s="288"/>
    </row>
    <row r="24" spans="1:13" ht="16.2" x14ac:dyDescent="0.3">
      <c r="A24" s="330" t="s">
        <v>264</v>
      </c>
      <c r="B24" s="331"/>
      <c r="C24" s="303"/>
      <c r="D24" s="303"/>
      <c r="E24" s="303"/>
      <c r="F24" s="296"/>
      <c r="G24" s="304"/>
      <c r="H24" s="304"/>
      <c r="I24" s="304"/>
      <c r="J24" s="304"/>
      <c r="K24" s="304"/>
      <c r="L24" s="304"/>
      <c r="M24" s="288"/>
    </row>
    <row r="25" spans="1:13" ht="16.2" x14ac:dyDescent="0.3">
      <c r="A25" s="330" t="s">
        <v>265</v>
      </c>
      <c r="B25" s="331"/>
      <c r="C25" s="303"/>
      <c r="D25" s="303"/>
      <c r="E25" s="303"/>
      <c r="F25" s="296"/>
      <c r="G25" s="304"/>
      <c r="H25" s="304"/>
      <c r="I25" s="304"/>
      <c r="J25" s="304"/>
      <c r="K25" s="304"/>
      <c r="L25" s="304"/>
      <c r="M25" s="288"/>
    </row>
    <row r="26" spans="1:13" ht="16.2" x14ac:dyDescent="0.3">
      <c r="A26" s="330" t="s">
        <v>266</v>
      </c>
      <c r="B26" s="331"/>
      <c r="C26" s="303"/>
      <c r="D26" s="303"/>
      <c r="E26" s="303"/>
      <c r="F26" s="296"/>
      <c r="G26" s="304"/>
      <c r="H26" s="304"/>
      <c r="I26" s="304"/>
      <c r="J26" s="304"/>
      <c r="K26" s="304"/>
      <c r="L26" s="304"/>
      <c r="M26" s="288"/>
    </row>
    <row r="27" spans="1:13" ht="16.2" x14ac:dyDescent="0.3">
      <c r="A27" s="330" t="s">
        <v>267</v>
      </c>
      <c r="B27" s="331"/>
      <c r="C27" s="303"/>
      <c r="D27" s="303"/>
      <c r="E27" s="303"/>
      <c r="F27" s="296"/>
      <c r="G27" s="304"/>
      <c r="H27" s="304"/>
      <c r="I27" s="304"/>
      <c r="J27" s="304"/>
      <c r="K27" s="304"/>
      <c r="L27" s="304"/>
      <c r="M27" s="288"/>
    </row>
    <row r="28" spans="1:13" ht="16.2" x14ac:dyDescent="0.3">
      <c r="A28" s="330" t="s">
        <v>268</v>
      </c>
      <c r="B28" s="331"/>
      <c r="C28" s="303"/>
      <c r="D28" s="303"/>
      <c r="E28" s="303"/>
      <c r="F28" s="296"/>
      <c r="G28" s="304"/>
      <c r="H28" s="304"/>
      <c r="I28" s="304"/>
      <c r="J28" s="304"/>
      <c r="K28" s="304"/>
      <c r="L28" s="304"/>
      <c r="M28" s="288"/>
    </row>
    <row r="29" spans="1:13" ht="16.2" x14ac:dyDescent="0.3">
      <c r="A29" s="330" t="s">
        <v>269</v>
      </c>
      <c r="B29" s="331"/>
      <c r="C29" s="303"/>
      <c r="D29" s="303"/>
      <c r="E29" s="303"/>
      <c r="F29" s="296"/>
      <c r="G29" s="304"/>
      <c r="H29" s="304"/>
      <c r="I29" s="304"/>
      <c r="J29" s="304"/>
      <c r="K29" s="304"/>
      <c r="L29" s="304"/>
      <c r="M29" s="288"/>
    </row>
    <row r="30" spans="1:13" ht="16.2" x14ac:dyDescent="0.3">
      <c r="A30" s="330" t="s">
        <v>270</v>
      </c>
      <c r="B30" s="331"/>
      <c r="C30" s="303"/>
      <c r="D30" s="303"/>
      <c r="E30" s="303"/>
      <c r="F30" s="296"/>
      <c r="G30" s="304"/>
      <c r="H30" s="304"/>
      <c r="I30" s="304"/>
      <c r="J30" s="304"/>
      <c r="K30" s="304"/>
      <c r="L30" s="304"/>
      <c r="M30" s="288"/>
    </row>
    <row r="31" spans="1:13" ht="16.2" x14ac:dyDescent="0.3">
      <c r="A31" s="330" t="s">
        <v>271</v>
      </c>
      <c r="B31" s="331"/>
      <c r="C31" s="303"/>
      <c r="D31" s="303"/>
      <c r="E31" s="303"/>
      <c r="F31" s="296"/>
      <c r="G31" s="304"/>
      <c r="H31" s="304"/>
      <c r="I31" s="304"/>
      <c r="J31" s="304"/>
      <c r="K31" s="304"/>
      <c r="L31" s="304"/>
      <c r="M31" s="288"/>
    </row>
    <row r="32" spans="1:13" ht="16.2" x14ac:dyDescent="0.3">
      <c r="A32" s="330" t="s">
        <v>272</v>
      </c>
      <c r="B32" s="331"/>
      <c r="C32" s="303"/>
      <c r="D32" s="303"/>
      <c r="E32" s="303"/>
      <c r="F32" s="296"/>
      <c r="G32" s="304"/>
      <c r="H32" s="304"/>
      <c r="I32" s="304"/>
      <c r="J32" s="304"/>
      <c r="K32" s="304"/>
      <c r="L32" s="304"/>
      <c r="M32" s="288"/>
    </row>
    <row r="33" spans="1:16" ht="16.2" x14ac:dyDescent="0.3">
      <c r="A33" s="330" t="s">
        <v>273</v>
      </c>
      <c r="B33" s="331"/>
      <c r="C33" s="303"/>
      <c r="D33" s="303"/>
      <c r="E33" s="303"/>
      <c r="F33" s="296"/>
      <c r="G33" s="304"/>
      <c r="H33" s="304"/>
      <c r="I33" s="304"/>
      <c r="J33" s="304"/>
      <c r="K33" s="304"/>
      <c r="L33" s="304"/>
    </row>
    <row r="34" spans="1:16" ht="16.2" x14ac:dyDescent="0.3">
      <c r="A34" s="773" t="s">
        <v>288</v>
      </c>
      <c r="B34" s="774"/>
      <c r="C34" s="306"/>
      <c r="D34" s="306"/>
      <c r="E34" s="306"/>
      <c r="F34" s="296"/>
      <c r="G34" s="307">
        <f t="shared" ref="G34:J34" si="2">SUM(G35:G37)</f>
        <v>0</v>
      </c>
      <c r="H34" s="307">
        <f t="shared" si="2"/>
        <v>0</v>
      </c>
      <c r="I34" s="307">
        <f t="shared" si="2"/>
        <v>0</v>
      </c>
      <c r="J34" s="307">
        <f t="shared" si="2"/>
        <v>0</v>
      </c>
      <c r="K34" s="307"/>
      <c r="L34" s="307">
        <f>SUM(L35:L37)</f>
        <v>0</v>
      </c>
      <c r="N34" s="308"/>
    </row>
    <row r="35" spans="1:16" ht="16.2" x14ac:dyDescent="0.3">
      <c r="A35" s="330" t="s">
        <v>289</v>
      </c>
      <c r="B35" s="331"/>
      <c r="C35" s="309"/>
      <c r="D35" s="309"/>
      <c r="E35" s="309"/>
      <c r="F35" s="310"/>
      <c r="G35" s="304"/>
      <c r="H35" s="304"/>
      <c r="I35" s="304"/>
      <c r="J35" s="304"/>
      <c r="K35" s="304"/>
      <c r="L35" s="304"/>
      <c r="N35" s="311"/>
    </row>
    <row r="36" spans="1:16" ht="16.2" x14ac:dyDescent="0.3">
      <c r="A36" s="330" t="s">
        <v>254</v>
      </c>
      <c r="B36" s="331"/>
      <c r="C36" s="309"/>
      <c r="D36" s="309"/>
      <c r="E36" s="309"/>
      <c r="F36" s="310"/>
      <c r="G36" s="304"/>
      <c r="H36" s="304"/>
      <c r="I36" s="304"/>
      <c r="J36" s="304"/>
      <c r="K36" s="304"/>
      <c r="L36" s="304"/>
      <c r="N36" s="311"/>
    </row>
    <row r="37" spans="1:16" ht="16.2" x14ac:dyDescent="0.3">
      <c r="A37" s="330" t="s">
        <v>255</v>
      </c>
      <c r="B37" s="331"/>
      <c r="C37" s="309"/>
      <c r="D37" s="309"/>
      <c r="E37" s="309"/>
      <c r="F37" s="310"/>
      <c r="G37" s="304"/>
      <c r="H37" s="304"/>
      <c r="I37" s="304"/>
      <c r="J37" s="304"/>
      <c r="K37" s="304"/>
      <c r="L37" s="304"/>
      <c r="N37" s="311"/>
    </row>
    <row r="38" spans="1:16" ht="16.2" x14ac:dyDescent="0.3">
      <c r="A38" s="773" t="s">
        <v>290</v>
      </c>
      <c r="B38" s="774"/>
      <c r="C38" s="306"/>
      <c r="D38" s="306"/>
      <c r="E38" s="306"/>
      <c r="F38" s="296"/>
      <c r="G38" s="307">
        <f t="shared" ref="G38:J38" si="3">SUM(G39:G41)</f>
        <v>0</v>
      </c>
      <c r="H38" s="307">
        <f t="shared" si="3"/>
        <v>0</v>
      </c>
      <c r="I38" s="307">
        <f t="shared" si="3"/>
        <v>0</v>
      </c>
      <c r="J38" s="307">
        <f t="shared" si="3"/>
        <v>0</v>
      </c>
      <c r="K38" s="307"/>
      <c r="L38" s="307">
        <f>SUM(L39:L41)</f>
        <v>0</v>
      </c>
      <c r="N38" s="308"/>
    </row>
    <row r="39" spans="1:16" ht="16.2" x14ac:dyDescent="0.3">
      <c r="A39" s="330" t="s">
        <v>289</v>
      </c>
      <c r="B39" s="331"/>
      <c r="C39" s="309"/>
      <c r="D39" s="309"/>
      <c r="E39" s="309"/>
      <c r="F39" s="310"/>
      <c r="G39" s="304"/>
      <c r="H39" s="304"/>
      <c r="I39" s="304"/>
      <c r="J39" s="304"/>
      <c r="K39" s="304"/>
      <c r="L39" s="304"/>
      <c r="N39" s="311"/>
    </row>
    <row r="40" spans="1:16" ht="16.2" x14ac:dyDescent="0.3">
      <c r="A40" s="330" t="s">
        <v>254</v>
      </c>
      <c r="B40" s="331"/>
      <c r="C40" s="309"/>
      <c r="D40" s="309"/>
      <c r="E40" s="309"/>
      <c r="F40" s="310"/>
      <c r="G40" s="304"/>
      <c r="H40" s="304"/>
      <c r="I40" s="304"/>
      <c r="J40" s="304"/>
      <c r="K40" s="304"/>
      <c r="L40" s="304"/>
      <c r="N40" s="311"/>
    </row>
    <row r="41" spans="1:16" ht="16.2" x14ac:dyDescent="0.3">
      <c r="A41" s="330" t="s">
        <v>255</v>
      </c>
      <c r="B41" s="331"/>
      <c r="C41" s="309"/>
      <c r="D41" s="309"/>
      <c r="E41" s="309"/>
      <c r="F41" s="310"/>
      <c r="G41" s="304"/>
      <c r="H41" s="304"/>
      <c r="I41" s="304"/>
      <c r="J41" s="304"/>
      <c r="K41" s="304"/>
      <c r="L41" s="304"/>
      <c r="N41" s="311"/>
    </row>
    <row r="42" spans="1:16" ht="16.2" x14ac:dyDescent="0.3">
      <c r="A42" s="775" t="s">
        <v>291</v>
      </c>
      <c r="B42" s="776"/>
      <c r="C42" s="298"/>
      <c r="D42" s="298"/>
      <c r="E42" s="298"/>
      <c r="F42" s="296"/>
      <c r="G42" s="312"/>
      <c r="H42" s="312"/>
      <c r="I42" s="312"/>
      <c r="J42" s="312"/>
      <c r="K42" s="312"/>
      <c r="L42" s="312"/>
      <c r="M42" s="300"/>
      <c r="N42" s="313"/>
      <c r="O42" s="314"/>
    </row>
    <row r="43" spans="1:16" ht="22.2" x14ac:dyDescent="0.4">
      <c r="A43" s="775" t="s">
        <v>292</v>
      </c>
      <c r="B43" s="776"/>
      <c r="C43" s="298"/>
      <c r="D43" s="298"/>
      <c r="E43" s="298"/>
      <c r="F43" s="296"/>
      <c r="G43" s="777">
        <f>SUM(G42:L42)</f>
        <v>0</v>
      </c>
      <c r="H43" s="778"/>
      <c r="I43" s="778"/>
      <c r="J43" s="778"/>
      <c r="K43" s="778"/>
      <c r="L43" s="779"/>
      <c r="M43" s="300"/>
      <c r="N43" s="313"/>
      <c r="O43" s="314"/>
    </row>
    <row r="44" spans="1:16" ht="16.2" x14ac:dyDescent="0.3">
      <c r="B44" s="315"/>
      <c r="C44" s="291"/>
      <c r="D44" s="291"/>
      <c r="E44" s="291"/>
      <c r="F44" s="291"/>
      <c r="G44" s="292"/>
      <c r="H44" s="292"/>
      <c r="I44" s="292"/>
      <c r="J44" s="292"/>
      <c r="K44" s="292"/>
      <c r="L44" s="292"/>
      <c r="N44" s="316"/>
      <c r="O44" s="317"/>
    </row>
    <row r="45" spans="1:16" ht="16.2" x14ac:dyDescent="0.3">
      <c r="B45" s="315" t="s">
        <v>274</v>
      </c>
      <c r="C45" s="780" t="s">
        <v>275</v>
      </c>
      <c r="D45" s="780"/>
      <c r="E45" s="780"/>
      <c r="F45" s="780"/>
      <c r="G45" s="318"/>
      <c r="H45" s="318" t="s">
        <v>276</v>
      </c>
      <c r="I45" s="318"/>
      <c r="J45" s="318"/>
      <c r="K45" s="318"/>
      <c r="L45" s="292"/>
      <c r="N45" s="319"/>
      <c r="O45" s="317"/>
    </row>
    <row r="46" spans="1:16" ht="16.2" x14ac:dyDescent="0.3">
      <c r="B46" s="315"/>
      <c r="C46" s="320"/>
      <c r="D46" s="320"/>
      <c r="E46" s="320"/>
      <c r="F46" s="320"/>
      <c r="G46" s="324">
        <f>G8+G9+G13-G34-G38</f>
        <v>0</v>
      </c>
      <c r="H46" s="324">
        <f t="shared" ref="H46:L46" si="4">H8+H9+H13-H34-H38</f>
        <v>-5</v>
      </c>
      <c r="I46" s="324">
        <f t="shared" si="4"/>
        <v>0</v>
      </c>
      <c r="J46" s="324">
        <f t="shared" si="4"/>
        <v>0</v>
      </c>
      <c r="K46" s="324"/>
      <c r="L46" s="324">
        <f t="shared" si="4"/>
        <v>5</v>
      </c>
      <c r="N46" s="319"/>
      <c r="O46" s="317"/>
    </row>
    <row r="47" spans="1:16" ht="16.2" x14ac:dyDescent="0.3">
      <c r="G47" s="325">
        <f>G42-G46</f>
        <v>0</v>
      </c>
      <c r="H47" s="325">
        <f t="shared" ref="H47:L47" si="5">H42-H46</f>
        <v>5</v>
      </c>
      <c r="I47" s="325">
        <f t="shared" si="5"/>
        <v>0</v>
      </c>
      <c r="J47" s="325">
        <f t="shared" si="5"/>
        <v>0</v>
      </c>
      <c r="K47" s="325"/>
      <c r="L47" s="325">
        <f t="shared" si="5"/>
        <v>-5</v>
      </c>
      <c r="N47" s="322"/>
      <c r="O47" s="323"/>
      <c r="P47" s="323"/>
    </row>
    <row r="48" spans="1:16" ht="16.2" x14ac:dyDescent="0.3">
      <c r="N48" s="323"/>
      <c r="O48" s="323"/>
      <c r="P48" s="323"/>
    </row>
  </sheetData>
  <mergeCells count="19">
    <mergeCell ref="A34:B34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9:B9"/>
    <mergeCell ref="A13:B13"/>
    <mergeCell ref="A38:B38"/>
    <mergeCell ref="A42:B42"/>
    <mergeCell ref="A43:B43"/>
    <mergeCell ref="G43:L43"/>
    <mergeCell ref="C45:F45"/>
  </mergeCells>
  <phoneticPr fontId="9" type="noConversion"/>
  <conditionalFormatting sqref="C8:E8">
    <cfRule type="expression" dxfId="4" priority="2" stopIfTrue="1">
      <formula>AND($O8&gt;0,$O8=$P8)</formula>
    </cfRule>
  </conditionalFormatting>
  <conditionalFormatting sqref="C14:E37">
    <cfRule type="expression" dxfId="3" priority="3" stopIfTrue="1">
      <formula>AND($N14&gt;0,$N14=$O14)</formula>
    </cfRule>
  </conditionalFormatting>
  <conditionalFormatting sqref="C38:E41">
    <cfRule type="expression" dxfId="2" priority="1" stopIfTrue="1">
      <formula>AND($N38&gt;0,$N38=$O38)</formula>
    </cfRule>
  </conditionalFormatting>
  <conditionalFormatting sqref="G8:L8">
    <cfRule type="expression" dxfId="1" priority="4" stopIfTrue="1">
      <formula>LEN(#REF!)&gt;7</formula>
    </cfRule>
    <cfRule type="expression" dxfId="0" priority="5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/>
  </sheetPr>
  <dimension ref="A1"/>
  <sheetViews>
    <sheetView workbookViewId="0">
      <selection activeCell="G24" sqref="G24"/>
    </sheetView>
  </sheetViews>
  <sheetFormatPr defaultRowHeight="13.2" x14ac:dyDescent="0.25"/>
  <sheetData/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7" zoomScale="90" zoomScaleNormal="90" workbookViewId="0">
      <selection activeCell="D22" sqref="D22"/>
    </sheetView>
  </sheetViews>
  <sheetFormatPr defaultRowHeight="13.8" x14ac:dyDescent="0.25"/>
  <cols>
    <col min="1" max="1" width="47.44140625" customWidth="1"/>
    <col min="2" max="2" width="60.6640625" customWidth="1"/>
    <col min="3" max="3" width="21.44140625" style="183" bestFit="1" customWidth="1"/>
    <col min="4" max="5" width="11.5546875" style="164" customWidth="1"/>
    <col min="6" max="6" width="12.88671875" style="164" bestFit="1" customWidth="1"/>
    <col min="7" max="7" width="17.88671875" style="164" customWidth="1"/>
    <col min="8" max="8" width="9.5546875" customWidth="1"/>
  </cols>
  <sheetData>
    <row r="1" spans="1:8" x14ac:dyDescent="0.25">
      <c r="A1" s="570" t="s">
        <v>149</v>
      </c>
      <c r="B1" s="570"/>
    </row>
    <row r="2" spans="1:8" x14ac:dyDescent="0.25">
      <c r="A2" s="571" t="s">
        <v>150</v>
      </c>
      <c r="B2" s="570"/>
    </row>
    <row r="3" spans="1:8" x14ac:dyDescent="0.25">
      <c r="A3" s="570" t="s">
        <v>151</v>
      </c>
      <c r="B3" s="570"/>
    </row>
    <row r="4" spans="1:8" ht="27.6" x14ac:dyDescent="0.25">
      <c r="A4" s="570" t="s">
        <v>152</v>
      </c>
      <c r="B4" s="570"/>
      <c r="C4" s="184" t="s">
        <v>184</v>
      </c>
      <c r="D4" s="196" t="s">
        <v>185</v>
      </c>
      <c r="E4" s="164" t="s">
        <v>187</v>
      </c>
      <c r="F4" s="196" t="s">
        <v>186</v>
      </c>
    </row>
    <row r="5" spans="1:8" x14ac:dyDescent="0.25">
      <c r="A5" s="571" t="s">
        <v>153</v>
      </c>
      <c r="B5" s="570"/>
      <c r="C5" s="185" t="e">
        <f>VLOOKUP("應付費用",平衡!$N$13:$U$70,4,0)</f>
        <v>#N/A</v>
      </c>
      <c r="D5" s="186">
        <f>縣庫對帳!P6</f>
        <v>0</v>
      </c>
      <c r="E5" s="186">
        <v>40000</v>
      </c>
      <c r="F5" s="186">
        <f>庫款差額!C8+庫款差額!C15-庫款差額!C18-庫款差額!C21</f>
        <v>0</v>
      </c>
    </row>
    <row r="6" spans="1:8" ht="14.4" thickBot="1" x14ac:dyDescent="0.3">
      <c r="A6" s="568" t="s">
        <v>154</v>
      </c>
      <c r="B6" s="569"/>
      <c r="C6" s="183" t="s">
        <v>168</v>
      </c>
      <c r="D6" s="198">
        <f>VLOOKUP("銀行存款-縣庫存款",平衡!$E$13:$H$47,4,0)+VLOOKUP("零用及週轉金",平衡!$D$13:$H$47,5,0)</f>
        <v>2344442</v>
      </c>
      <c r="E6" s="198" t="e">
        <f>VLOOKUP("基金餘額",平衡!$K$13:$U$70,7,0)+C5</f>
        <v>#N/A</v>
      </c>
      <c r="F6" s="169" t="s">
        <v>167</v>
      </c>
    </row>
    <row r="7" spans="1:8" ht="14.4" thickBot="1" x14ac:dyDescent="0.3">
      <c r="A7" s="568" t="s">
        <v>155</v>
      </c>
      <c r="B7" s="569"/>
      <c r="C7" s="183" t="s">
        <v>169</v>
      </c>
      <c r="D7" s="198">
        <f>VLOOKUP("銀行存款-專戶存款",平衡!$E$13:$H$47,4,0)+VLOOKUP("其他預付款",平衡!$D$13:$H$47,5,0)</f>
        <v>71433830</v>
      </c>
      <c r="E7" s="198">
        <f>VLOOKUP("應付代收款",平衡!$N$13:$U$47,7,0)+VLOOKUP("存入保證金",平衡!$N$13:$U$47,7,0)</f>
        <v>71433830</v>
      </c>
      <c r="F7" s="169" t="s">
        <v>170</v>
      </c>
    </row>
    <row r="8" spans="1:8" ht="20.399999999999999" thickBot="1" x14ac:dyDescent="0.3">
      <c r="A8" s="80" t="s">
        <v>129</v>
      </c>
      <c r="B8" s="81" t="s">
        <v>130</v>
      </c>
      <c r="C8" s="183" t="s">
        <v>166</v>
      </c>
      <c r="D8" s="199">
        <f>VLOOKUP("合計：",平衡!$A$13:$H$47,8,0)</f>
        <v>113965511</v>
      </c>
      <c r="E8" s="199">
        <f>VLOOKUP("合計：",平衡!$K$13:$U$47,10,0)</f>
        <v>113965511</v>
      </c>
    </row>
    <row r="9" spans="1:8" ht="16.8" thickBot="1" x14ac:dyDescent="0.3">
      <c r="A9" s="76" t="s">
        <v>131</v>
      </c>
      <c r="B9" s="77" t="s">
        <v>132</v>
      </c>
      <c r="C9" s="183" t="s">
        <v>173</v>
      </c>
      <c r="D9" s="199">
        <f>VLOOKUP("基金用途",餘絀表!$C$16:$T$45,18,0)</f>
        <v>36052768</v>
      </c>
      <c r="E9" s="199">
        <f>VLOOKUP("合       計",各項費用!$D$12:$Q$86,14)</f>
        <v>36052768</v>
      </c>
      <c r="F9" s="199">
        <f>縣庫對帳!P3</f>
        <v>36052768</v>
      </c>
    </row>
    <row r="10" spans="1:8" ht="33" thickBot="1" x14ac:dyDescent="0.3">
      <c r="A10" s="76" t="s">
        <v>133</v>
      </c>
      <c r="B10" s="77" t="s">
        <v>134</v>
      </c>
      <c r="C10" s="183" t="s">
        <v>334</v>
      </c>
      <c r="D10" s="199">
        <f>VLOOKUP("基金來源",餘絀表!$C$16:$T$45,18,0)</f>
        <v>35921448</v>
      </c>
      <c r="E10" s="199">
        <f>縣庫對帳!N3</f>
        <v>35921448</v>
      </c>
      <c r="F10" s="199"/>
      <c r="G10" s="199"/>
      <c r="H10" s="164">
        <f>D13-E13</f>
        <v>0</v>
      </c>
    </row>
    <row r="11" spans="1:8" ht="27" customHeight="1" x14ac:dyDescent="0.25">
      <c r="A11" s="572" t="s">
        <v>29</v>
      </c>
      <c r="B11" s="572" t="s">
        <v>135</v>
      </c>
      <c r="C11" s="183" t="s">
        <v>345</v>
      </c>
      <c r="D11" s="199">
        <f>VLOOKUP("政府撥入收入",餘絀表!$C$16:$T$45,18,0)</f>
        <v>35845693</v>
      </c>
      <c r="E11" s="199"/>
      <c r="F11" s="199">
        <f>VLOOKUP("政府撥入收入",收支!$B$14:$N$61,13,0)</f>
        <v>35845693</v>
      </c>
      <c r="G11" s="199">
        <f>VLOOKUP("政府撥入收入",對照表!$B$1:$E$28,4,0)</f>
        <v>35845693</v>
      </c>
    </row>
    <row r="12" spans="1:8" ht="27.6" x14ac:dyDescent="0.25">
      <c r="A12" s="575"/>
      <c r="B12" s="575"/>
      <c r="C12" s="183" t="s">
        <v>346</v>
      </c>
      <c r="D12" s="199"/>
      <c r="E12" s="199"/>
      <c r="F12" s="199">
        <f>VLOOKUP("收入",收支!$A$14:$N$61,14,0)</f>
        <v>43973582</v>
      </c>
      <c r="G12" s="199">
        <f>VLOOKUP("基金來源",對照表!$A$1:$E$28,5,0)</f>
        <v>43973582</v>
      </c>
    </row>
    <row r="13" spans="1:8" x14ac:dyDescent="0.25">
      <c r="A13" s="575"/>
      <c r="B13" s="575"/>
      <c r="C13" s="183" t="s">
        <v>331</v>
      </c>
      <c r="D13" s="199">
        <f>IF(封面!J10=12,0,VLOOKUP($G$13,平衡!$N$13:$U$47,7,0))</f>
        <v>0</v>
      </c>
      <c r="E13" s="199">
        <f>IF(封面!J10=12,0,VLOOKUP("本期賸餘（短絀）",收支!$A$14:$N$36,14,0))</f>
        <v>0</v>
      </c>
      <c r="F13" s="199">
        <f>IF(封面!K10=12,0,VLOOKUP("本期賸餘(短絀)",對照表!$A$1:$E$28,5,0))</f>
        <v>5469841</v>
      </c>
      <c r="G13" s="197" t="str">
        <f>IF(E13&gt;=0,"本期賸餘","本期短絀")</f>
        <v>本期賸餘</v>
      </c>
    </row>
    <row r="14" spans="1:8" x14ac:dyDescent="0.25">
      <c r="A14" s="575"/>
      <c r="B14" s="575"/>
      <c r="C14" s="183" t="s">
        <v>332</v>
      </c>
      <c r="D14" s="199">
        <f>IF(封面!J10=12,0,VLOOKUP("本期賸餘(短絀－)",餘絀表!$C$16:$T$48,18,0))</f>
        <v>0</v>
      </c>
      <c r="E14" s="199"/>
      <c r="F14" s="199">
        <f>IF(封面!K11=12,0,VLOOKUP("本期賸餘(短絀)",對照表!$A$1:$C$28,3,0))</f>
        <v>-131320</v>
      </c>
      <c r="G14" s="197"/>
    </row>
    <row r="15" spans="1:8" x14ac:dyDescent="0.25">
      <c r="A15" s="575"/>
      <c r="B15" s="575"/>
      <c r="C15" s="183" t="s">
        <v>333</v>
      </c>
      <c r="D15" s="199">
        <f>IF(封面!J12=12,0,VLOOKUP($G$15,平衡!$K$13:$U$47,10,0))</f>
        <v>42531681</v>
      </c>
      <c r="E15" s="199" t="e">
        <f>IF(封面!J12=12,0,VLOOKUP("期末淨資產",收支!$A$14:$N$36,14,0))</f>
        <v>#N/A</v>
      </c>
      <c r="F15" s="199" t="e">
        <f>IF(封面!K12=12,0,VLOOKUP("期末基金餘額",對照表!$A$1:$E$28,5,0))</f>
        <v>#N/A</v>
      </c>
      <c r="G15" s="197" t="s">
        <v>333</v>
      </c>
    </row>
    <row r="16" spans="1:8" ht="14.4" thickBot="1" x14ac:dyDescent="0.3">
      <c r="A16" s="576"/>
      <c r="B16" s="576"/>
      <c r="C16" s="183" t="s">
        <v>158</v>
      </c>
      <c r="D16" s="199">
        <f>VLOOKUP("國民教育計畫",主要業務!$B$15:$J$24,7,0)</f>
        <v>910697</v>
      </c>
      <c r="E16" s="199">
        <f>VLOOKUP("國民教育計畫",餘絀表!$C$16:$T$45,9,0)</f>
        <v>0</v>
      </c>
    </row>
    <row r="17" spans="1:8" x14ac:dyDescent="0.25">
      <c r="A17" s="572" t="s">
        <v>147</v>
      </c>
      <c r="B17" s="572" t="s">
        <v>136</v>
      </c>
      <c r="C17" s="183" t="s">
        <v>159</v>
      </c>
      <c r="D17" s="199">
        <f>主要業務!H17</f>
        <v>36052768</v>
      </c>
      <c r="E17" s="199">
        <f>VLOOKUP("國民教育計畫",餘絀表!$C$16:$T$45,18,0)</f>
        <v>36052768</v>
      </c>
    </row>
    <row r="18" spans="1:8" x14ac:dyDescent="0.25">
      <c r="A18" s="573"/>
      <c r="B18" s="575"/>
      <c r="C18" s="183" t="s">
        <v>160</v>
      </c>
      <c r="D18" s="199">
        <f>主要業務!H20</f>
        <v>0</v>
      </c>
      <c r="E18" s="199" t="e">
        <f>VLOOKUP("建築及設備計畫",餘絀表!$C$16:$T$45,9,0)</f>
        <v>#N/A</v>
      </c>
    </row>
    <row r="19" spans="1:8" x14ac:dyDescent="0.25">
      <c r="A19" s="573"/>
      <c r="B19" s="575"/>
      <c r="C19" s="183" t="s">
        <v>161</v>
      </c>
      <c r="D19" s="199">
        <f>主要業務!H22</f>
        <v>0</v>
      </c>
      <c r="E19" s="199" t="e">
        <f>VLOOKUP("建築及設備計畫",餘絀表!$C$16:$T$45,18,0)</f>
        <v>#N/A</v>
      </c>
    </row>
    <row r="20" spans="1:8" x14ac:dyDescent="0.25">
      <c r="A20" s="573"/>
      <c r="B20" s="575"/>
      <c r="C20" s="183" t="s">
        <v>335</v>
      </c>
      <c r="D20" s="199">
        <f>VLOOKUP("用人費用",各項費用!$F$12:$Q$100,12,0)</f>
        <v>34690165</v>
      </c>
      <c r="E20" s="199">
        <f>VLOOKUP("人事支出",收支!$B$14:$N$61,13,0)</f>
        <v>34690165</v>
      </c>
      <c r="F20" s="199">
        <f>VLOOKUP("用人費用",對照表!$B$1:$E$28,4,0)</f>
        <v>34690165</v>
      </c>
    </row>
    <row r="21" spans="1:8" x14ac:dyDescent="0.25">
      <c r="A21" s="573"/>
      <c r="B21" s="575"/>
      <c r="C21" s="183" t="s">
        <v>336</v>
      </c>
      <c r="D21" s="199">
        <f>IF(E21=0,0,資產!F10+H21)</f>
        <v>-534173</v>
      </c>
      <c r="E21" s="199">
        <f>VLOOKUP("折舊、折耗及攤銷",收支!$B$14:$N$61,13,0)</f>
        <v>2178671</v>
      </c>
      <c r="F21" s="199">
        <f>VLOOKUP("折舊、折耗及攤銷",對照表!$H$1:$J$28,3,0)</f>
        <v>2178671</v>
      </c>
      <c r="G21" s="461" t="s">
        <v>347</v>
      </c>
      <c r="H21" s="462">
        <f>464532-4645</f>
        <v>459887</v>
      </c>
    </row>
    <row r="22" spans="1:8" x14ac:dyDescent="0.25">
      <c r="A22" s="573"/>
      <c r="B22" s="575"/>
      <c r="C22" s="183" t="s">
        <v>306</v>
      </c>
      <c r="D22" s="198">
        <v>0</v>
      </c>
      <c r="E22" s="198"/>
      <c r="F22" s="168"/>
    </row>
    <row r="23" spans="1:8" x14ac:dyDescent="0.25">
      <c r="A23" s="573"/>
      <c r="B23" s="575"/>
      <c r="C23" s="183" t="s">
        <v>307</v>
      </c>
      <c r="D23" s="198">
        <f>D28-D22-D24-D25-D26-D27</f>
        <v>-5</v>
      </c>
      <c r="E23" s="198"/>
      <c r="F23" s="168" t="s">
        <v>308</v>
      </c>
    </row>
    <row r="24" spans="1:8" x14ac:dyDescent="0.25">
      <c r="A24" s="573"/>
      <c r="B24" s="575"/>
      <c r="C24" s="183" t="s">
        <v>309</v>
      </c>
      <c r="D24" s="198"/>
      <c r="E24" s="198"/>
      <c r="F24" s="168" t="s">
        <v>310</v>
      </c>
    </row>
    <row r="25" spans="1:8" x14ac:dyDescent="0.25">
      <c r="A25" s="573"/>
      <c r="B25" s="575"/>
      <c r="C25" s="183" t="s">
        <v>311</v>
      </c>
      <c r="D25" s="198">
        <v>0</v>
      </c>
      <c r="E25" s="198"/>
      <c r="F25" s="168"/>
    </row>
    <row r="26" spans="1:8" ht="14.4" thickBot="1" x14ac:dyDescent="0.3">
      <c r="A26" s="574"/>
      <c r="B26" s="576"/>
      <c r="C26" s="183" t="s">
        <v>312</v>
      </c>
      <c r="D26" s="198"/>
      <c r="E26" s="198"/>
      <c r="F26" s="168"/>
      <c r="H26" s="166"/>
    </row>
    <row r="27" spans="1:8" ht="33" thickBot="1" x14ac:dyDescent="0.3">
      <c r="A27" s="76" t="s">
        <v>137</v>
      </c>
      <c r="B27" s="77" t="s">
        <v>148</v>
      </c>
      <c r="C27" s="183" t="s">
        <v>313</v>
      </c>
      <c r="D27" s="198">
        <v>5</v>
      </c>
      <c r="E27" s="198"/>
      <c r="F27" s="168"/>
    </row>
    <row r="28" spans="1:8" ht="33" thickBot="1" x14ac:dyDescent="0.3">
      <c r="A28" s="76" t="s">
        <v>71</v>
      </c>
      <c r="B28" s="77" t="s">
        <v>138</v>
      </c>
      <c r="C28" s="183" t="s">
        <v>314</v>
      </c>
      <c r="D28" s="198"/>
      <c r="E28" s="198"/>
      <c r="F28" s="168" t="s">
        <v>315</v>
      </c>
    </row>
    <row r="29" spans="1:8" ht="16.8" thickBot="1" x14ac:dyDescent="0.3">
      <c r="A29" s="76" t="s">
        <v>139</v>
      </c>
      <c r="B29" s="77" t="s">
        <v>140</v>
      </c>
      <c r="D29" s="186"/>
      <c r="E29" s="186"/>
    </row>
    <row r="30" spans="1:8" x14ac:dyDescent="0.25">
      <c r="A30" s="572" t="s">
        <v>141</v>
      </c>
      <c r="B30" s="572" t="s">
        <v>142</v>
      </c>
      <c r="D30" s="199"/>
      <c r="E30" s="199"/>
      <c r="F30" s="186"/>
    </row>
    <row r="31" spans="1:8" x14ac:dyDescent="0.25">
      <c r="A31" s="575"/>
      <c r="B31" s="575"/>
      <c r="D31" s="199"/>
      <c r="E31" s="199"/>
      <c r="F31" s="186"/>
    </row>
    <row r="32" spans="1:8" ht="14.4" thickBot="1" x14ac:dyDescent="0.3">
      <c r="A32" s="574"/>
      <c r="B32" s="574"/>
      <c r="D32" s="199"/>
      <c r="E32" s="199"/>
      <c r="F32" s="186"/>
    </row>
    <row r="33" spans="1:2" ht="14.4" thickBot="1" x14ac:dyDescent="0.3">
      <c r="A33" s="200"/>
      <c r="B33" s="200"/>
    </row>
    <row r="34" spans="1:2" ht="14.4" thickBot="1" x14ac:dyDescent="0.3">
      <c r="A34" s="200"/>
      <c r="B34" s="200"/>
    </row>
    <row r="35" spans="1:2" ht="14.4" thickBot="1" x14ac:dyDescent="0.3">
      <c r="A35" s="200"/>
      <c r="B35" s="200"/>
    </row>
    <row r="36" spans="1:2" ht="20.399999999999999" thickBot="1" x14ac:dyDescent="0.3">
      <c r="A36" s="75"/>
      <c r="B36" s="75"/>
    </row>
    <row r="37" spans="1:2" ht="20.399999999999999" thickBot="1" x14ac:dyDescent="0.3">
      <c r="A37" s="78" t="s">
        <v>129</v>
      </c>
      <c r="B37" s="79" t="s">
        <v>143</v>
      </c>
    </row>
    <row r="38" spans="1:2" ht="16.8" thickBot="1" x14ac:dyDescent="0.3">
      <c r="A38" s="152" t="s">
        <v>144</v>
      </c>
      <c r="B38" s="77" t="s">
        <v>164</v>
      </c>
    </row>
    <row r="39" spans="1:2" ht="33" thickBot="1" x14ac:dyDescent="0.3">
      <c r="A39" s="152" t="s">
        <v>131</v>
      </c>
      <c r="B39" s="77" t="s">
        <v>165</v>
      </c>
    </row>
    <row r="40" spans="1:2" ht="16.8" thickBot="1" x14ac:dyDescent="0.3">
      <c r="A40" s="152" t="s">
        <v>145</v>
      </c>
      <c r="B40" s="77" t="s">
        <v>146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9" type="noConversion"/>
  <conditionalFormatting sqref="D16:E16 E18:E19">
    <cfRule type="expression" dxfId="79" priority="71" stopIfTrue="1">
      <formula>$D$16&lt;&gt;$E$16</formula>
    </cfRule>
  </conditionalFormatting>
  <conditionalFormatting sqref="D32:E32">
    <cfRule type="expression" dxfId="78" priority="64" stopIfTrue="1">
      <formula>$D$32&lt;&gt;$E$32</formula>
    </cfRule>
  </conditionalFormatting>
  <conditionalFormatting sqref="D17:E17">
    <cfRule type="expression" dxfId="77" priority="62" stopIfTrue="1">
      <formula>$D17&lt;&gt;$E17</formula>
    </cfRule>
  </conditionalFormatting>
  <conditionalFormatting sqref="D18:E18 E19">
    <cfRule type="expression" dxfId="76" priority="61" stopIfTrue="1">
      <formula>$D$18&lt;&gt;$E$18</formula>
    </cfRule>
  </conditionalFormatting>
  <conditionalFormatting sqref="E28">
    <cfRule type="expression" dxfId="75" priority="55" stopIfTrue="1">
      <formula>$D$30&lt;&gt;$E$30</formula>
    </cfRule>
  </conditionalFormatting>
  <conditionalFormatting sqref="E29">
    <cfRule type="expression" dxfId="74" priority="54" stopIfTrue="1">
      <formula>$F$31&lt;&gt;0</formula>
    </cfRule>
  </conditionalFormatting>
  <conditionalFormatting sqref="E30">
    <cfRule type="expression" dxfId="73" priority="51" stopIfTrue="1">
      <formula>$D$30&lt;&gt;$E$30</formula>
    </cfRule>
  </conditionalFormatting>
  <conditionalFormatting sqref="E31">
    <cfRule type="expression" dxfId="72" priority="50" stopIfTrue="1">
      <formula>$F$31&lt;&gt;0</formula>
    </cfRule>
  </conditionalFormatting>
  <conditionalFormatting sqref="D27 D22:E23">
    <cfRule type="expression" dxfId="71" priority="48" stopIfTrue="1">
      <formula>$D23&lt;&gt;$E23</formula>
    </cfRule>
  </conditionalFormatting>
  <conditionalFormatting sqref="E28">
    <cfRule type="expression" dxfId="70" priority="47" stopIfTrue="1">
      <formula>$D$30&lt;&gt;$E$30</formula>
    </cfRule>
  </conditionalFormatting>
  <conditionalFormatting sqref="E28">
    <cfRule type="expression" dxfId="69" priority="46" stopIfTrue="1">
      <formula>$D28&lt;&gt;$E28</formula>
    </cfRule>
  </conditionalFormatting>
  <conditionalFormatting sqref="D28">
    <cfRule type="expression" dxfId="68" priority="45" stopIfTrue="1">
      <formula>$D28&lt;&gt;$E28</formula>
    </cfRule>
  </conditionalFormatting>
  <conditionalFormatting sqref="D24:D26">
    <cfRule type="expression" dxfId="67" priority="44" stopIfTrue="1">
      <formula>$D24&lt;&gt;$E24</formula>
    </cfRule>
  </conditionalFormatting>
  <conditionalFormatting sqref="D27">
    <cfRule type="expression" dxfId="66" priority="43" stopIfTrue="1">
      <formula>$D27&lt;&gt;$E27</formula>
    </cfRule>
  </conditionalFormatting>
  <conditionalFormatting sqref="D14 F14:F15">
    <cfRule type="expression" dxfId="65" priority="42">
      <formula>$D$14&lt;&gt;$F$14</formula>
    </cfRule>
  </conditionalFormatting>
  <conditionalFormatting sqref="F15">
    <cfRule type="expression" dxfId="64" priority="34">
      <formula>$E$15&lt;&gt;$F$15</formula>
    </cfRule>
    <cfRule type="expression" dxfId="63" priority="35">
      <formula>$D$15&lt;&gt;$F$15</formula>
    </cfRule>
    <cfRule type="expression" dxfId="62" priority="40">
      <formula>$D$14&lt;&gt;$F$14</formula>
    </cfRule>
  </conditionalFormatting>
  <conditionalFormatting sqref="D15">
    <cfRule type="expression" dxfId="61" priority="38">
      <formula>$D$15&lt;&gt;$F$15</formula>
    </cfRule>
    <cfRule type="expression" dxfId="60" priority="39">
      <formula>$D$15&lt;&gt;$E$15</formula>
    </cfRule>
  </conditionalFormatting>
  <conditionalFormatting sqref="E15">
    <cfRule type="expression" dxfId="59" priority="36">
      <formula>$E$15&lt;&gt;$F$15</formula>
    </cfRule>
    <cfRule type="expression" dxfId="58" priority="37">
      <formula>$D$15&lt;&gt;$E$15</formula>
    </cfRule>
  </conditionalFormatting>
  <conditionalFormatting sqref="D7:E7">
    <cfRule type="expression" dxfId="57" priority="33">
      <formula>$D$7&lt;&gt;$E$7</formula>
    </cfRule>
  </conditionalFormatting>
  <conditionalFormatting sqref="D8:E8">
    <cfRule type="expression" dxfId="56" priority="32">
      <formula>$D$8&lt;&gt;$E$8</formula>
    </cfRule>
  </conditionalFormatting>
  <conditionalFormatting sqref="E16:E17">
    <cfRule type="expression" dxfId="55" priority="74" stopIfTrue="1">
      <formula>#REF!&lt;&gt;#REF!</formula>
    </cfRule>
  </conditionalFormatting>
  <conditionalFormatting sqref="E18:E19">
    <cfRule type="expression" dxfId="54" priority="95" stopIfTrue="1">
      <formula>#REF!&lt;&gt;#REF!</formula>
    </cfRule>
  </conditionalFormatting>
  <conditionalFormatting sqref="E6:E7">
    <cfRule type="expression" dxfId="53" priority="97" stopIfTrue="1">
      <formula>$D13&lt;&gt;$F13</formula>
    </cfRule>
  </conditionalFormatting>
  <conditionalFormatting sqref="D20:F20">
    <cfRule type="expression" dxfId="52" priority="16">
      <formula>$D$20&lt;&gt;$E$20</formula>
    </cfRule>
  </conditionalFormatting>
  <conditionalFormatting sqref="D20:F20">
    <cfRule type="expression" dxfId="51" priority="15">
      <formula>$E$20&lt;&gt;$F$20</formula>
    </cfRule>
  </conditionalFormatting>
  <conditionalFormatting sqref="D21:F21">
    <cfRule type="expression" dxfId="50" priority="10">
      <formula>$D$21&lt;&gt;$E$21</formula>
    </cfRule>
  </conditionalFormatting>
  <conditionalFormatting sqref="D21:F21">
    <cfRule type="expression" dxfId="49" priority="9">
      <formula>$D$21&lt;&gt;$F$21</formula>
    </cfRule>
  </conditionalFormatting>
  <conditionalFormatting sqref="D9:F9">
    <cfRule type="expression" dxfId="48" priority="6">
      <formula>$D$9&lt;&gt;$F$9</formula>
    </cfRule>
    <cfRule type="expression" dxfId="47" priority="7">
      <formula>$D$9&lt;&gt;$E$9</formula>
    </cfRule>
  </conditionalFormatting>
  <conditionalFormatting sqref="D10:G10">
    <cfRule type="expression" dxfId="46" priority="3">
      <formula>$D$10&lt;&gt;$E$10</formula>
    </cfRule>
  </conditionalFormatting>
  <conditionalFormatting sqref="F12:G12">
    <cfRule type="expression" dxfId="45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3.2" x14ac:dyDescent="0.25"/>
  <sheetData/>
  <phoneticPr fontId="9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CG20"/>
  <sheetViews>
    <sheetView view="pageBreakPreview" zoomScale="75" workbookViewId="0">
      <selection activeCell="A3" sqref="A3:R3"/>
    </sheetView>
  </sheetViews>
  <sheetFormatPr defaultColWidth="9.109375" defaultRowHeight="16.2" x14ac:dyDescent="0.3"/>
  <cols>
    <col min="1" max="1" width="18.6640625" style="48" customWidth="1"/>
    <col min="2" max="2" width="11.6640625" style="48" customWidth="1"/>
    <col min="3" max="3" width="9.109375" style="31"/>
    <col min="4" max="4" width="8.44140625" style="31" customWidth="1"/>
    <col min="5" max="5" width="5.88671875" style="31" customWidth="1"/>
    <col min="6" max="6" width="3.33203125" style="31" customWidth="1"/>
    <col min="7" max="7" width="7.33203125" style="31" customWidth="1"/>
    <col min="8" max="8" width="4.44140625" style="31" customWidth="1"/>
    <col min="9" max="9" width="9.109375" style="31"/>
    <col min="10" max="10" width="8.6640625" style="31" customWidth="1"/>
    <col min="11" max="12" width="5.6640625" style="31" customWidth="1"/>
    <col min="13" max="14" width="8" style="31" customWidth="1"/>
    <col min="15" max="15" width="6.109375" style="31" customWidth="1"/>
    <col min="16" max="16" width="8" style="31" customWidth="1"/>
    <col min="17" max="17" width="6.88671875" style="31" customWidth="1"/>
    <col min="18" max="18" width="3.88671875" style="31" customWidth="1"/>
    <col min="19" max="19" width="21.88671875" style="31" customWidth="1"/>
    <col min="20" max="16384" width="9.109375" style="31"/>
  </cols>
  <sheetData>
    <row r="1" spans="1:85" ht="19.8" x14ac:dyDescent="0.4">
      <c r="A1" s="802" t="s">
        <v>88</v>
      </c>
      <c r="B1" s="803"/>
      <c r="C1" s="803"/>
      <c r="D1" s="803"/>
      <c r="E1" s="803"/>
      <c r="F1" s="803"/>
      <c r="G1" s="803"/>
      <c r="H1" s="803"/>
      <c r="I1" s="803"/>
      <c r="J1" s="803"/>
      <c r="K1" s="803"/>
      <c r="L1" s="803"/>
      <c r="M1" s="803"/>
      <c r="N1" s="803"/>
      <c r="O1" s="803"/>
      <c r="P1" s="803"/>
      <c r="Q1" s="803"/>
      <c r="R1" s="804"/>
    </row>
    <row r="2" spans="1:85" x14ac:dyDescent="0.3">
      <c r="A2" s="805" t="str">
        <f>"茲列出 貴機關"&amp;封面!H10&amp;封面!J10&amp;"01至"&amp;封面!H10&amp;封面!J10&amp;封面!O10&amp;"歲出分配餘額暨支付明細，送請詳加核對"</f>
        <v>茲列出 貴機關1101201至1101231歲出分配餘額暨支付明細，送請詳加核對</v>
      </c>
      <c r="B2" s="806"/>
      <c r="C2" s="806"/>
      <c r="D2" s="806"/>
      <c r="E2" s="806"/>
      <c r="F2" s="806"/>
      <c r="G2" s="806"/>
      <c r="H2" s="806"/>
      <c r="I2" s="806"/>
      <c r="J2" s="806"/>
      <c r="K2" s="806"/>
      <c r="L2" s="806"/>
      <c r="M2" s="806"/>
      <c r="N2" s="806"/>
      <c r="O2" s="806"/>
      <c r="P2" s="806"/>
      <c r="Q2" s="806"/>
      <c r="R2" s="807"/>
    </row>
    <row r="3" spans="1:85" x14ac:dyDescent="0.3">
      <c r="A3" s="808" t="s">
        <v>89</v>
      </c>
      <c r="B3" s="809"/>
      <c r="C3" s="809"/>
      <c r="D3" s="809"/>
      <c r="E3" s="809"/>
      <c r="F3" s="809"/>
      <c r="G3" s="809"/>
      <c r="H3" s="809"/>
      <c r="I3" s="809"/>
      <c r="J3" s="809"/>
      <c r="K3" s="809"/>
      <c r="L3" s="809"/>
      <c r="M3" s="809"/>
      <c r="N3" s="809"/>
      <c r="O3" s="809"/>
      <c r="P3" s="809"/>
      <c r="Q3" s="809"/>
      <c r="R3" s="810"/>
    </row>
    <row r="4" spans="1:85" x14ac:dyDescent="0.3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 x14ac:dyDescent="0.3">
      <c r="A5" s="34"/>
      <c r="B5" s="35"/>
      <c r="C5" s="811" t="s">
        <v>90</v>
      </c>
      <c r="D5" s="811"/>
      <c r="E5" s="811"/>
      <c r="F5" s="811"/>
      <c r="G5" s="811"/>
      <c r="H5" s="811" t="s">
        <v>91</v>
      </c>
      <c r="I5" s="811"/>
      <c r="J5" s="36"/>
      <c r="K5" s="36"/>
      <c r="L5" s="36"/>
      <c r="M5" s="36"/>
      <c r="N5" s="36"/>
      <c r="O5" s="36"/>
      <c r="P5" s="36"/>
      <c r="Q5" s="36"/>
      <c r="R5" s="37"/>
    </row>
    <row r="6" spans="1:85" x14ac:dyDescent="0.3">
      <c r="A6" s="38"/>
      <c r="B6" s="39" t="s">
        <v>92</v>
      </c>
      <c r="C6" s="798"/>
      <c r="D6" s="799"/>
      <c r="E6" s="799"/>
      <c r="F6" s="800" t="s">
        <v>93</v>
      </c>
      <c r="G6" s="801"/>
      <c r="H6" s="801"/>
      <c r="I6" s="801"/>
      <c r="J6" s="801"/>
      <c r="K6" s="801"/>
      <c r="L6" s="33"/>
      <c r="M6" s="33"/>
      <c r="N6" s="33"/>
      <c r="O6" s="33"/>
      <c r="P6" s="33"/>
      <c r="Q6" s="33"/>
      <c r="R6" s="40"/>
    </row>
    <row r="7" spans="1:85" x14ac:dyDescent="0.3">
      <c r="A7" s="38"/>
      <c r="B7" s="800" t="s">
        <v>94</v>
      </c>
      <c r="C7" s="800"/>
      <c r="D7" s="800"/>
      <c r="E7" s="800"/>
      <c r="F7" s="800"/>
      <c r="G7" s="800"/>
      <c r="H7" s="800"/>
      <c r="I7" s="800"/>
      <c r="J7" s="33"/>
      <c r="K7" s="33"/>
      <c r="L7" s="33"/>
      <c r="M7" s="33"/>
      <c r="N7" s="33"/>
      <c r="O7" s="33"/>
      <c r="P7" s="33"/>
      <c r="Q7" s="33"/>
      <c r="R7" s="40"/>
    </row>
    <row r="8" spans="1:85" x14ac:dyDescent="0.3">
      <c r="A8" s="38"/>
      <c r="B8" s="800" t="s">
        <v>95</v>
      </c>
      <c r="C8" s="800"/>
      <c r="D8" s="800"/>
      <c r="E8" s="800"/>
      <c r="F8" s="800"/>
      <c r="G8" s="800"/>
      <c r="H8" s="800"/>
      <c r="I8" s="800"/>
      <c r="J8" s="33"/>
      <c r="K8" s="33"/>
      <c r="L8" s="33"/>
      <c r="M8" s="33"/>
      <c r="N8" s="33"/>
      <c r="O8" s="33"/>
      <c r="P8" s="33"/>
      <c r="Q8" s="33"/>
      <c r="R8" s="40"/>
    </row>
    <row r="9" spans="1:85" x14ac:dyDescent="0.3">
      <c r="A9" s="41" t="s">
        <v>96</v>
      </c>
      <c r="B9" s="819" t="s">
        <v>97</v>
      </c>
      <c r="C9" s="819"/>
      <c r="D9" s="819"/>
      <c r="E9" s="819"/>
      <c r="F9" s="819"/>
      <c r="G9" s="819"/>
      <c r="H9" s="819"/>
      <c r="I9" s="819"/>
      <c r="J9" s="43"/>
      <c r="K9" s="43"/>
      <c r="L9" s="43"/>
      <c r="M9" s="43"/>
      <c r="N9" s="43"/>
      <c r="O9" s="43"/>
      <c r="P9" s="43"/>
      <c r="Q9" s="43"/>
      <c r="R9" s="44"/>
    </row>
    <row r="10" spans="1:85" x14ac:dyDescent="0.3">
      <c r="A10" s="820" t="s">
        <v>98</v>
      </c>
      <c r="B10" s="811"/>
      <c r="C10" s="811"/>
      <c r="D10" s="821"/>
      <c r="E10" s="822" t="s">
        <v>99</v>
      </c>
      <c r="F10" s="821"/>
      <c r="G10" s="822" t="s">
        <v>100</v>
      </c>
      <c r="H10" s="821"/>
      <c r="I10" s="822" t="s">
        <v>101</v>
      </c>
      <c r="J10" s="821"/>
      <c r="K10" s="822" t="s">
        <v>76</v>
      </c>
      <c r="L10" s="821"/>
      <c r="M10" s="822" t="s">
        <v>102</v>
      </c>
      <c r="N10" s="811"/>
      <c r="O10" s="811"/>
      <c r="P10" s="811"/>
      <c r="Q10" s="811"/>
      <c r="R10" s="821"/>
    </row>
    <row r="11" spans="1:85" ht="52.5" customHeight="1" x14ac:dyDescent="0.3">
      <c r="A11" s="812" t="s">
        <v>103</v>
      </c>
      <c r="B11" s="813"/>
      <c r="C11" s="813"/>
      <c r="D11" s="814"/>
      <c r="E11" s="815" t="s">
        <v>104</v>
      </c>
      <c r="F11" s="816"/>
      <c r="G11" s="817">
        <v>1053704</v>
      </c>
      <c r="H11" s="818"/>
      <c r="I11" s="817">
        <v>365251010501182</v>
      </c>
      <c r="J11" s="818"/>
      <c r="K11" s="823">
        <v>26000</v>
      </c>
      <c r="L11" s="824"/>
      <c r="M11" s="812" t="s">
        <v>105</v>
      </c>
      <c r="N11" s="813"/>
      <c r="O11" s="813"/>
      <c r="P11" s="813"/>
      <c r="Q11" s="813"/>
      <c r="R11" s="814"/>
      <c r="S11" s="45" t="s">
        <v>106</v>
      </c>
    </row>
    <row r="12" spans="1:85" ht="54" customHeight="1" x14ac:dyDescent="0.3">
      <c r="A12" s="812" t="s">
        <v>107</v>
      </c>
      <c r="B12" s="813"/>
      <c r="C12" s="813"/>
      <c r="D12" s="814"/>
      <c r="E12" s="815" t="s">
        <v>108</v>
      </c>
      <c r="F12" s="816"/>
      <c r="G12" s="817">
        <v>1050843</v>
      </c>
      <c r="H12" s="818"/>
      <c r="I12" s="817">
        <v>365251010500989</v>
      </c>
      <c r="J12" s="818"/>
      <c r="K12" s="823">
        <v>129310</v>
      </c>
      <c r="L12" s="824"/>
      <c r="M12" s="812" t="s">
        <v>109</v>
      </c>
      <c r="N12" s="813"/>
      <c r="O12" s="813"/>
      <c r="P12" s="813"/>
      <c r="Q12" s="813"/>
      <c r="R12" s="814"/>
    </row>
    <row r="13" spans="1:85" ht="52.5" customHeight="1" x14ac:dyDescent="0.3">
      <c r="A13" s="812" t="s">
        <v>110</v>
      </c>
      <c r="B13" s="813"/>
      <c r="C13" s="813"/>
      <c r="D13" s="814"/>
      <c r="E13" s="815" t="s">
        <v>104</v>
      </c>
      <c r="F13" s="816"/>
      <c r="G13" s="817">
        <v>1053632</v>
      </c>
      <c r="H13" s="818"/>
      <c r="I13" s="817">
        <v>365251010501170</v>
      </c>
      <c r="J13" s="818"/>
      <c r="K13" s="823">
        <v>12925</v>
      </c>
      <c r="L13" s="824"/>
      <c r="M13" s="812" t="s">
        <v>111</v>
      </c>
      <c r="N13" s="813"/>
      <c r="O13" s="813"/>
      <c r="P13" s="813"/>
      <c r="Q13" s="813"/>
      <c r="R13" s="814"/>
    </row>
    <row r="14" spans="1:85" x14ac:dyDescent="0.3">
      <c r="A14" s="825"/>
      <c r="B14" s="826"/>
      <c r="C14" s="826"/>
      <c r="D14" s="827"/>
      <c r="E14" s="830"/>
      <c r="F14" s="831"/>
      <c r="G14" s="828"/>
      <c r="H14" s="829"/>
      <c r="I14" s="828"/>
      <c r="J14" s="829"/>
      <c r="K14" s="836"/>
      <c r="L14" s="837"/>
      <c r="M14" s="838"/>
      <c r="N14" s="839"/>
      <c r="O14" s="839"/>
      <c r="P14" s="839"/>
      <c r="Q14" s="839"/>
      <c r="R14" s="840"/>
    </row>
    <row r="15" spans="1:85" x14ac:dyDescent="0.3">
      <c r="A15" s="822" t="s">
        <v>112</v>
      </c>
      <c r="B15" s="811"/>
      <c r="C15" s="811"/>
      <c r="D15" s="811"/>
      <c r="E15" s="811"/>
      <c r="F15" s="811"/>
      <c r="G15" s="811"/>
      <c r="H15" s="811"/>
      <c r="I15" s="811"/>
      <c r="J15" s="811"/>
      <c r="K15" s="811"/>
      <c r="L15" s="811"/>
      <c r="M15" s="811"/>
      <c r="N15" s="811"/>
      <c r="O15" s="811"/>
      <c r="P15" s="811"/>
      <c r="Q15" s="811"/>
      <c r="R15" s="821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 x14ac:dyDescent="0.3">
      <c r="A16" s="832" t="s">
        <v>113</v>
      </c>
      <c r="B16" s="799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 x14ac:dyDescent="0.3">
      <c r="A17" s="38"/>
      <c r="B17" s="32" t="s">
        <v>114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 x14ac:dyDescent="0.3">
      <c r="A18" s="46"/>
      <c r="B18" s="47"/>
      <c r="C18" s="819" t="s">
        <v>115</v>
      </c>
      <c r="D18" s="819"/>
      <c r="E18" s="43"/>
      <c r="F18" s="43"/>
      <c r="G18" s="42"/>
      <c r="H18" s="42"/>
      <c r="I18" s="819" t="s">
        <v>116</v>
      </c>
      <c r="J18" s="819"/>
      <c r="K18" s="819"/>
      <c r="L18" s="43"/>
      <c r="M18" s="43"/>
      <c r="N18" s="43"/>
      <c r="O18" s="43"/>
      <c r="P18" s="833">
        <f ca="1">NOW()</f>
        <v>44589.383984953703</v>
      </c>
      <c r="Q18" s="834"/>
      <c r="R18" s="83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 x14ac:dyDescent="0.3">
      <c r="A19" s="799" t="s">
        <v>117</v>
      </c>
      <c r="B19" s="799"/>
      <c r="E19" s="841" t="s">
        <v>118</v>
      </c>
      <c r="F19" s="842"/>
      <c r="G19" s="842"/>
      <c r="K19" s="31" t="s">
        <v>119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 x14ac:dyDescent="0.3">
      <c r="A20" s="801" t="s">
        <v>120</v>
      </c>
      <c r="B20" s="801"/>
      <c r="F20" s="801" t="s">
        <v>120</v>
      </c>
      <c r="G20" s="801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9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topLeftCell="B1" zoomScale="90" zoomScaleNormal="90" workbookViewId="0">
      <selection activeCell="G30" sqref="G30"/>
    </sheetView>
  </sheetViews>
  <sheetFormatPr defaultRowHeight="13.8" x14ac:dyDescent="0.25"/>
  <cols>
    <col min="1" max="1" width="47.44140625" customWidth="1"/>
    <col min="2" max="2" width="64.33203125" customWidth="1"/>
    <col min="3" max="3" width="21.44140625" style="183" bestFit="1" customWidth="1"/>
    <col min="4" max="5" width="11.5546875" style="164" customWidth="1"/>
    <col min="6" max="6" width="12.88671875" style="164" bestFit="1" customWidth="1"/>
    <col min="7" max="7" width="17.88671875" style="164" customWidth="1"/>
    <col min="8" max="8" width="11.21875" bestFit="1" customWidth="1"/>
  </cols>
  <sheetData>
    <row r="1" spans="1:8" x14ac:dyDescent="0.25">
      <c r="A1" s="570" t="s">
        <v>348</v>
      </c>
      <c r="B1" s="570"/>
    </row>
    <row r="2" spans="1:8" x14ac:dyDescent="0.25">
      <c r="A2" s="571" t="s">
        <v>349</v>
      </c>
      <c r="B2" s="570"/>
    </row>
    <row r="3" spans="1:8" x14ac:dyDescent="0.25">
      <c r="A3" s="570" t="s">
        <v>350</v>
      </c>
      <c r="B3" s="570"/>
    </row>
    <row r="4" spans="1:8" ht="27.6" x14ac:dyDescent="0.25">
      <c r="A4" s="570" t="s">
        <v>351</v>
      </c>
      <c r="B4" s="570"/>
      <c r="C4" s="184" t="s">
        <v>352</v>
      </c>
      <c r="D4" s="196" t="s">
        <v>353</v>
      </c>
      <c r="E4" s="164" t="s">
        <v>354</v>
      </c>
      <c r="F4" s="196" t="s">
        <v>355</v>
      </c>
    </row>
    <row r="5" spans="1:8" x14ac:dyDescent="0.25">
      <c r="A5" s="571" t="s">
        <v>356</v>
      </c>
      <c r="B5" s="570"/>
      <c r="C5" s="185">
        <v>0</v>
      </c>
      <c r="D5" s="186">
        <f>縣庫對帳!P6</f>
        <v>0</v>
      </c>
      <c r="E5" s="186">
        <v>40000</v>
      </c>
      <c r="F5" s="186">
        <f>庫款差額!C8+庫款差額!C15-庫款差額!C18-庫款差額!C21</f>
        <v>0</v>
      </c>
    </row>
    <row r="6" spans="1:8" ht="14.4" thickBot="1" x14ac:dyDescent="0.3">
      <c r="A6" s="568" t="s">
        <v>357</v>
      </c>
      <c r="B6" s="569"/>
      <c r="C6" s="183" t="s">
        <v>358</v>
      </c>
      <c r="D6" s="198">
        <f>VLOOKUP("銀行存款-縣庫存款",平衡!$E$13:$H$47,4,0)+VLOOKUP("零用及週轉金",平衡!$D$13:$H$47,5,0)</f>
        <v>2344442</v>
      </c>
      <c r="E6" s="198">
        <f>VLOOKUP("淨資產",平衡!$K$13:$U$70,10,0)+C5-VLOOKUP("固定資產",平衡!$B$13:$H$47,7,0)</f>
        <v>2344442</v>
      </c>
      <c r="F6" s="169" t="s">
        <v>359</v>
      </c>
    </row>
    <row r="7" spans="1:8" ht="14.4" thickBot="1" x14ac:dyDescent="0.3">
      <c r="A7" s="568" t="s">
        <v>360</v>
      </c>
      <c r="B7" s="569"/>
      <c r="C7" s="183" t="s">
        <v>361</v>
      </c>
      <c r="D7" s="198">
        <f>VLOOKUP("銀行存款-專戶存款",平衡!$E$13:$H$47,4,0)+VLOOKUP("其他預付款",平衡!$D$13:$H$47,5,0)</f>
        <v>71433830</v>
      </c>
      <c r="E7" s="198">
        <f>VLOOKUP("應付代收款",平衡!$N$13:$U$47,7,0)+VLOOKUP("存入保證金",平衡!$N$13:$U$47,7,0)</f>
        <v>71433830</v>
      </c>
      <c r="F7" s="169" t="s">
        <v>362</v>
      </c>
    </row>
    <row r="8" spans="1:8" ht="20.399999999999999" thickBot="1" x14ac:dyDescent="0.3">
      <c r="A8" s="80" t="s">
        <v>129</v>
      </c>
      <c r="B8" s="81" t="s">
        <v>130</v>
      </c>
      <c r="C8" s="183" t="s">
        <v>363</v>
      </c>
      <c r="D8" s="199">
        <f>VLOOKUP("合計：",平衡!$A$13:$H$47,8,0)</f>
        <v>113965511</v>
      </c>
      <c r="E8" s="199">
        <f>VLOOKUP("合計：",平衡!$K$13:$U$47,10,0)</f>
        <v>113965511</v>
      </c>
    </row>
    <row r="9" spans="1:8" ht="16.8" thickBot="1" x14ac:dyDescent="0.3">
      <c r="A9" s="465" t="s">
        <v>131</v>
      </c>
      <c r="B9" s="77" t="s">
        <v>132</v>
      </c>
      <c r="C9" s="183" t="s">
        <v>364</v>
      </c>
      <c r="D9" s="199">
        <f>VLOOKUP("基金用途",餘絀表!$C$16:$T$45,18,0)</f>
        <v>36052768</v>
      </c>
      <c r="E9" s="199">
        <f>VLOOKUP("合       計",各項費用!$D$12:$Q$86,14)</f>
        <v>36052768</v>
      </c>
      <c r="F9" s="199">
        <f>縣庫對帳!P3</f>
        <v>36052768</v>
      </c>
    </row>
    <row r="10" spans="1:8" ht="33" thickBot="1" x14ac:dyDescent="0.3">
      <c r="A10" s="465" t="s">
        <v>133</v>
      </c>
      <c r="B10" s="77" t="s">
        <v>134</v>
      </c>
      <c r="C10" s="183" t="s">
        <v>365</v>
      </c>
      <c r="D10" s="199">
        <f>VLOOKUP("基金來源",餘絀表!$C$16:$T$45,18,0)</f>
        <v>35921448</v>
      </c>
      <c r="E10" s="199">
        <f>縣庫對帳!N3</f>
        <v>35921448</v>
      </c>
      <c r="F10" s="199"/>
      <c r="G10" s="199"/>
      <c r="H10" s="186">
        <f>D13-E13</f>
        <v>-5469841</v>
      </c>
    </row>
    <row r="11" spans="1:8" ht="27" customHeight="1" x14ac:dyDescent="0.25">
      <c r="A11" s="572" t="s">
        <v>29</v>
      </c>
      <c r="B11" s="572" t="s">
        <v>135</v>
      </c>
      <c r="C11" s="183" t="s">
        <v>366</v>
      </c>
      <c r="D11" s="199">
        <f>VLOOKUP("政府撥入收入",餘絀表!$C$16:$T$45,18,0)</f>
        <v>35845693</v>
      </c>
      <c r="E11" s="199"/>
      <c r="F11" s="199">
        <f>VLOOKUP("政府撥入收入",收支!$B$14:$N$61,13,0)</f>
        <v>35845693</v>
      </c>
      <c r="G11" s="199">
        <f>VLOOKUP("政府撥入收入",對照表!$B$1:$E$28,4,0)</f>
        <v>35845693</v>
      </c>
    </row>
    <row r="12" spans="1:8" ht="27.6" x14ac:dyDescent="0.25">
      <c r="A12" s="575"/>
      <c r="B12" s="575"/>
      <c r="C12" s="183" t="s">
        <v>367</v>
      </c>
      <c r="D12" s="199"/>
      <c r="E12" s="199"/>
      <c r="F12" s="199">
        <f>VLOOKUP("收入",收支!$A$14:$N$61,14,0)</f>
        <v>43973582</v>
      </c>
      <c r="G12" s="199">
        <f>VLOOKUP("基金來源",對照表!$A$1:$E$28,5,0)</f>
        <v>43973582</v>
      </c>
    </row>
    <row r="13" spans="1:8" x14ac:dyDescent="0.25">
      <c r="A13" s="575"/>
      <c r="B13" s="575"/>
      <c r="C13" s="183" t="s">
        <v>368</v>
      </c>
      <c r="D13" s="199">
        <f>IF(封面!J10=12,0,VLOOKUP($G$13,平衡!$N$13:$U$47,7,0))</f>
        <v>0</v>
      </c>
      <c r="E13" s="199">
        <f>VLOOKUP("本期賸餘（短絀）",收支!$A$14:$N$50,14,0)</f>
        <v>5469841</v>
      </c>
      <c r="F13" s="199">
        <f>VLOOKUP("本期賸餘(短絀)",對照表!$A$1:$E$28,5,0)</f>
        <v>5469841</v>
      </c>
      <c r="G13" s="197" t="str">
        <f>IF(E13&gt;=0,"本期賸餘","本期短絀")</f>
        <v>本期賸餘</v>
      </c>
    </row>
    <row r="14" spans="1:8" x14ac:dyDescent="0.25">
      <c r="A14" s="575"/>
      <c r="B14" s="575"/>
      <c r="C14" s="183" t="s">
        <v>369</v>
      </c>
      <c r="D14" s="199">
        <f>IF(封面!J10=12,0,VLOOKUP("本期賸餘(短絀－)",餘絀表!$C$16:$T$48,18,0))</f>
        <v>0</v>
      </c>
      <c r="E14" s="199"/>
      <c r="F14" s="199">
        <f>IF(封面!J10=12,0,VLOOKUP("本期賸餘(短絀)",對照表!$A$1:$C$28,3,0))</f>
        <v>0</v>
      </c>
      <c r="G14" s="197"/>
    </row>
    <row r="15" spans="1:8" x14ac:dyDescent="0.25">
      <c r="A15" s="575"/>
      <c r="B15" s="575"/>
      <c r="C15" s="183" t="s">
        <v>370</v>
      </c>
      <c r="D15" s="199">
        <f>IF(封面!J12=12,0,VLOOKUP($G$15,平衡!$K$13:$U$47,10,0))</f>
        <v>42531681</v>
      </c>
      <c r="E15" s="199">
        <f>IF(封面!J12=12,0,VLOOKUP("期末淨資產",收支!$A$14:$N$50,14,0))</f>
        <v>42531681</v>
      </c>
      <c r="F15" s="199">
        <f>IF(封面!K12=12,0,VLOOKUP("期末基金餘額",對照表!$A$1:$E$40,5,0))</f>
        <v>42531681</v>
      </c>
      <c r="G15" s="197" t="s">
        <v>370</v>
      </c>
    </row>
    <row r="16" spans="1:8" ht="14.4" thickBot="1" x14ac:dyDescent="0.3">
      <c r="A16" s="576"/>
      <c r="B16" s="576"/>
      <c r="C16" s="183" t="s">
        <v>371</v>
      </c>
      <c r="D16" s="199">
        <f>VLOOKUP("國民教育計畫",主要業務!$B$15:$J$24,7,0)</f>
        <v>910697</v>
      </c>
      <c r="E16" s="199">
        <f>VLOOKUP("國民教育計畫",餘絀表!$C$16:$T$45,8,0)</f>
        <v>910697</v>
      </c>
    </row>
    <row r="17" spans="1:10" x14ac:dyDescent="0.25">
      <c r="A17" s="572" t="s">
        <v>147</v>
      </c>
      <c r="B17" s="572" t="s">
        <v>136</v>
      </c>
      <c r="C17" s="183" t="s">
        <v>372</v>
      </c>
      <c r="D17" s="199">
        <f>主要業務!H17</f>
        <v>36052768</v>
      </c>
      <c r="E17" s="199">
        <f>VLOOKUP("國民教育計畫",餘絀表!$C$16:$T$45,18,0)</f>
        <v>36052768</v>
      </c>
    </row>
    <row r="18" spans="1:10" x14ac:dyDescent="0.25">
      <c r="A18" s="573"/>
      <c r="B18" s="575"/>
      <c r="C18" s="183" t="s">
        <v>373</v>
      </c>
      <c r="D18" s="199">
        <f>主要業務!H20</f>
        <v>0</v>
      </c>
      <c r="E18" s="199" t="e">
        <f>VLOOKUP("建築及設備計畫",餘絀表!$C$16:$T$45,9,0)</f>
        <v>#N/A</v>
      </c>
    </row>
    <row r="19" spans="1:10" x14ac:dyDescent="0.25">
      <c r="A19" s="573"/>
      <c r="B19" s="575"/>
      <c r="C19" s="183" t="s">
        <v>374</v>
      </c>
      <c r="D19" s="199">
        <f>主要業務!H22</f>
        <v>0</v>
      </c>
      <c r="E19" s="199" t="e">
        <f>VLOOKUP("建築及設備計畫",餘絀表!$C$16:$T$45,18,0)</f>
        <v>#N/A</v>
      </c>
    </row>
    <row r="20" spans="1:10" x14ac:dyDescent="0.25">
      <c r="A20" s="573"/>
      <c r="B20" s="575"/>
      <c r="C20" s="183" t="s">
        <v>375</v>
      </c>
      <c r="D20" s="199">
        <f>VLOOKUP("用人費用",各項費用!$F$12:$Q$100,12,0)</f>
        <v>34690165</v>
      </c>
      <c r="E20" s="199">
        <f>VLOOKUP("人事支出",收支!$B$14:$N$61,13,0)</f>
        <v>34690165</v>
      </c>
      <c r="F20" s="199">
        <f>VLOOKUP("用人費用",對照表!$B$1:$E$28,4,0)</f>
        <v>34690165</v>
      </c>
    </row>
    <row r="21" spans="1:10" x14ac:dyDescent="0.25">
      <c r="A21" s="573"/>
      <c r="B21" s="575"/>
      <c r="C21" s="183" t="s">
        <v>376</v>
      </c>
      <c r="D21" s="199">
        <f>IF(E21=0,0,資產!F10+H21)</f>
        <v>2178671</v>
      </c>
      <c r="E21" s="199">
        <f>VLOOKUP("折舊、折耗及攤銷",收支!$B$14:$N$61,13,0)</f>
        <v>2178671</v>
      </c>
      <c r="F21" s="199">
        <f>VLOOKUP("折舊、折耗及攤銷",對照表!$H$1:$J$28,3,0)</f>
        <v>2178671</v>
      </c>
      <c r="G21" s="461" t="s">
        <v>377</v>
      </c>
      <c r="H21" s="462">
        <f>464532-4645+1344298+291060+136125+(1065577+40293+453624)+(2012696+1047638+385643-659490-2247695-771282-385643)</f>
        <v>3172731</v>
      </c>
    </row>
    <row r="22" spans="1:10" x14ac:dyDescent="0.25">
      <c r="A22" s="573"/>
      <c r="B22" s="575"/>
      <c r="C22" s="471"/>
      <c r="D22" s="186"/>
      <c r="E22" s="186"/>
      <c r="F22" s="186"/>
      <c r="G22" s="461"/>
      <c r="H22" s="472"/>
    </row>
    <row r="23" spans="1:10" x14ac:dyDescent="0.25">
      <c r="A23" s="573"/>
      <c r="B23" s="581"/>
      <c r="C23" s="489"/>
      <c r="D23" s="579" t="s">
        <v>378</v>
      </c>
      <c r="E23" s="579"/>
      <c r="F23" s="579"/>
      <c r="G23" s="490" t="s">
        <v>379</v>
      </c>
      <c r="H23" s="491"/>
    </row>
    <row r="24" spans="1:10" x14ac:dyDescent="0.25">
      <c r="A24" s="573"/>
      <c r="B24" s="581"/>
      <c r="C24" s="489"/>
      <c r="D24" s="492" t="s">
        <v>380</v>
      </c>
      <c r="E24" s="493" t="s">
        <v>381</v>
      </c>
      <c r="F24" s="494" t="s">
        <v>382</v>
      </c>
      <c r="G24" s="495"/>
      <c r="H24" s="495"/>
      <c r="I24" s="164"/>
    </row>
    <row r="25" spans="1:10" x14ac:dyDescent="0.25">
      <c r="A25" s="573"/>
      <c r="B25" s="581"/>
      <c r="C25" s="496" t="s">
        <v>383</v>
      </c>
      <c r="D25" s="496"/>
      <c r="E25" s="496"/>
      <c r="F25" s="497">
        <f t="shared" ref="F25:F27" si="0">SUM(D25:E25)</f>
        <v>0</v>
      </c>
      <c r="G25" s="497">
        <v>0</v>
      </c>
      <c r="H25" s="498"/>
      <c r="I25" s="164"/>
    </row>
    <row r="26" spans="1:10" ht="14.4" thickBot="1" x14ac:dyDescent="0.3">
      <c r="A26" s="574"/>
      <c r="B26" s="582"/>
      <c r="C26" s="496" t="s">
        <v>384</v>
      </c>
      <c r="D26" s="496">
        <v>0</v>
      </c>
      <c r="E26" s="496"/>
      <c r="F26" s="497">
        <f t="shared" si="0"/>
        <v>0</v>
      </c>
      <c r="G26" s="497">
        <v>0</v>
      </c>
      <c r="H26" s="498"/>
      <c r="I26" s="164"/>
    </row>
    <row r="27" spans="1:10" ht="16.8" thickBot="1" x14ac:dyDescent="0.3">
      <c r="A27" s="465" t="s">
        <v>137</v>
      </c>
      <c r="B27" s="488" t="s">
        <v>148</v>
      </c>
      <c r="C27" s="496" t="s">
        <v>385</v>
      </c>
      <c r="D27" s="499">
        <v>948821</v>
      </c>
      <c r="E27" s="499"/>
      <c r="F27" s="497">
        <f t="shared" si="0"/>
        <v>948821</v>
      </c>
      <c r="G27" s="497">
        <v>948821</v>
      </c>
      <c r="H27" s="498"/>
      <c r="I27" s="164"/>
    </row>
    <row r="28" spans="1:10" ht="16.8" customHeight="1" thickBot="1" x14ac:dyDescent="0.3">
      <c r="A28" s="465" t="s">
        <v>71</v>
      </c>
      <c r="B28" s="488" t="s">
        <v>138</v>
      </c>
      <c r="C28" s="496" t="s">
        <v>386</v>
      </c>
      <c r="D28" s="500">
        <f>F28</f>
        <v>67357251</v>
      </c>
      <c r="E28" s="499"/>
      <c r="F28" s="501">
        <f>F31-(F25+F26+F27+F29+F30)</f>
        <v>67357251</v>
      </c>
      <c r="G28" s="497">
        <v>67357251</v>
      </c>
      <c r="H28" s="498"/>
      <c r="I28" s="164"/>
      <c r="J28" s="166"/>
    </row>
    <row r="29" spans="1:10" ht="16.8" thickBot="1" x14ac:dyDescent="0.3">
      <c r="A29" s="465" t="s">
        <v>139</v>
      </c>
      <c r="B29" s="488" t="s">
        <v>140</v>
      </c>
      <c r="C29" s="496" t="s">
        <v>387</v>
      </c>
      <c r="D29" s="499">
        <v>1227753</v>
      </c>
      <c r="E29" s="499">
        <f>800000+300000+800000</f>
        <v>1900000</v>
      </c>
      <c r="F29" s="497">
        <f>SUM(D29:E29)</f>
        <v>3127753</v>
      </c>
      <c r="G29" s="497">
        <f>1227753+1900000</f>
        <v>3127753</v>
      </c>
      <c r="H29" s="498"/>
      <c r="I29" s="164"/>
    </row>
    <row r="30" spans="1:10" x14ac:dyDescent="0.25">
      <c r="A30" s="572" t="s">
        <v>141</v>
      </c>
      <c r="B30" s="580" t="s">
        <v>142</v>
      </c>
      <c r="C30" s="496" t="s">
        <v>388</v>
      </c>
      <c r="D30" s="499">
        <v>5</v>
      </c>
      <c r="E30" s="499"/>
      <c r="F30" s="497">
        <f>SUM(D30:E30)</f>
        <v>5</v>
      </c>
      <c r="G30" s="497">
        <v>5</v>
      </c>
      <c r="H30" s="498"/>
      <c r="I30" s="164"/>
    </row>
    <row r="31" spans="1:10" x14ac:dyDescent="0.25">
      <c r="A31" s="575"/>
      <c r="B31" s="581"/>
      <c r="C31" s="502" t="s">
        <v>389</v>
      </c>
      <c r="D31" s="503">
        <f>SUM(D25:D30)</f>
        <v>69533830</v>
      </c>
      <c r="E31" s="503">
        <f>SUM(E25:E30)</f>
        <v>1900000</v>
      </c>
      <c r="F31" s="501">
        <f>VLOOKUP("銀行存款-專戶存款",平衡!$E$13:$H$46,4,0)</f>
        <v>71433830</v>
      </c>
      <c r="G31" s="504">
        <f>SUM(G25:G30)</f>
        <v>71433830</v>
      </c>
      <c r="H31" s="498"/>
      <c r="I31" s="164"/>
    </row>
    <row r="32" spans="1:10" ht="14.4" thickBot="1" x14ac:dyDescent="0.3">
      <c r="A32" s="574"/>
      <c r="B32" s="574"/>
      <c r="C32" s="502" t="s">
        <v>463</v>
      </c>
      <c r="D32" s="577">
        <f>SUM(D31:E31)</f>
        <v>71433830</v>
      </c>
      <c r="E32" s="578"/>
      <c r="F32" s="186"/>
      <c r="G32" s="186"/>
      <c r="H32" s="164"/>
      <c r="I32" s="164"/>
    </row>
    <row r="33" spans="1:9" ht="14.4" thickBot="1" x14ac:dyDescent="0.3">
      <c r="A33" s="200"/>
      <c r="B33" s="200"/>
      <c r="D33" s="183"/>
      <c r="E33" s="183"/>
      <c r="F33" s="199"/>
      <c r="G33" s="199"/>
      <c r="H33" s="186"/>
      <c r="I33" s="164"/>
    </row>
    <row r="34" spans="1:9" ht="14.4" thickBot="1" x14ac:dyDescent="0.3">
      <c r="A34" s="200"/>
      <c r="B34" s="200"/>
      <c r="D34" s="183"/>
      <c r="E34" s="183"/>
      <c r="F34" s="199"/>
      <c r="G34" s="199"/>
      <c r="H34" s="186"/>
      <c r="I34" s="164"/>
    </row>
    <row r="35" spans="1:9" ht="14.4" thickBot="1" x14ac:dyDescent="0.3">
      <c r="A35" s="200"/>
      <c r="B35" s="200"/>
      <c r="D35" s="183"/>
      <c r="E35" s="183"/>
      <c r="F35" s="199"/>
      <c r="G35" s="199"/>
      <c r="H35" s="186"/>
    </row>
    <row r="36" spans="1:9" ht="20.399999999999999" thickBot="1" x14ac:dyDescent="0.3">
      <c r="A36" s="75"/>
      <c r="B36" s="75"/>
    </row>
    <row r="37" spans="1:9" ht="20.399999999999999" thickBot="1" x14ac:dyDescent="0.3">
      <c r="A37" s="78" t="s">
        <v>129</v>
      </c>
      <c r="B37" s="79" t="s">
        <v>143</v>
      </c>
    </row>
    <row r="38" spans="1:9" ht="16.8" thickBot="1" x14ac:dyDescent="0.3">
      <c r="A38" s="465" t="s">
        <v>144</v>
      </c>
      <c r="B38" s="77" t="s">
        <v>164</v>
      </c>
    </row>
    <row r="39" spans="1:9" ht="33" thickBot="1" x14ac:dyDescent="0.3">
      <c r="A39" s="465" t="s">
        <v>131</v>
      </c>
      <c r="B39" s="77" t="s">
        <v>165</v>
      </c>
    </row>
    <row r="40" spans="1:9" ht="16.8" thickBot="1" x14ac:dyDescent="0.3">
      <c r="A40" s="465" t="s">
        <v>145</v>
      </c>
      <c r="B40" s="77" t="s">
        <v>146</v>
      </c>
    </row>
  </sheetData>
  <mergeCells count="15">
    <mergeCell ref="D32:E32"/>
    <mergeCell ref="D23:F23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9" type="noConversion"/>
  <conditionalFormatting sqref="D16:E16 E18:E19">
    <cfRule type="expression" dxfId="44" priority="32" stopIfTrue="1">
      <formula>$D$16&lt;&gt;$E$16</formula>
    </cfRule>
  </conditionalFormatting>
  <conditionalFormatting sqref="D17:E17">
    <cfRule type="expression" dxfId="43" priority="31" stopIfTrue="1">
      <formula>$D17&lt;&gt;$E17</formula>
    </cfRule>
  </conditionalFormatting>
  <conditionalFormatting sqref="D18:E18 E19">
    <cfRule type="expression" dxfId="42" priority="30" stopIfTrue="1">
      <formula>$D$18&lt;&gt;$E$18</formula>
    </cfRule>
  </conditionalFormatting>
  <conditionalFormatting sqref="G31">
    <cfRule type="expression" dxfId="41" priority="29" stopIfTrue="1">
      <formula>$F$33&lt;&gt;$G$33</formula>
    </cfRule>
  </conditionalFormatting>
  <conditionalFormatting sqref="G32">
    <cfRule type="expression" dxfId="40" priority="28" stopIfTrue="1">
      <formula>$H$34&lt;&gt;0</formula>
    </cfRule>
  </conditionalFormatting>
  <conditionalFormatting sqref="G33">
    <cfRule type="expression" dxfId="39" priority="27" stopIfTrue="1">
      <formula>$F$33&lt;&gt;$G$33</formula>
    </cfRule>
  </conditionalFormatting>
  <conditionalFormatting sqref="G34">
    <cfRule type="expression" dxfId="38" priority="26" stopIfTrue="1">
      <formula>$H$34&lt;&gt;0</formula>
    </cfRule>
  </conditionalFormatting>
  <conditionalFormatting sqref="G31">
    <cfRule type="expression" dxfId="37" priority="25" stopIfTrue="1">
      <formula>$F$33&lt;&gt;$G$33</formula>
    </cfRule>
  </conditionalFormatting>
  <conditionalFormatting sqref="D14 F14:F15">
    <cfRule type="expression" dxfId="36" priority="24">
      <formula>$D$14&lt;&gt;$F$14</formula>
    </cfRule>
  </conditionalFormatting>
  <conditionalFormatting sqref="F15">
    <cfRule type="expression" dxfId="35" priority="21">
      <formula>$E$15&lt;&gt;$F$15</formula>
    </cfRule>
    <cfRule type="expression" dxfId="34" priority="22">
      <formula>$D$15&lt;&gt;$F$15</formula>
    </cfRule>
    <cfRule type="expression" dxfId="33" priority="23">
      <formula>$D$14&lt;&gt;$F$14</formula>
    </cfRule>
  </conditionalFormatting>
  <conditionalFormatting sqref="D15">
    <cfRule type="expression" dxfId="32" priority="19">
      <formula>$D$15&lt;&gt;$F$15</formula>
    </cfRule>
    <cfRule type="expression" dxfId="31" priority="20">
      <formula>$D$15&lt;&gt;$E$15</formula>
    </cfRule>
  </conditionalFormatting>
  <conditionalFormatting sqref="E15">
    <cfRule type="expression" dxfId="30" priority="17">
      <formula>$E$15&lt;&gt;$F$15</formula>
    </cfRule>
    <cfRule type="expression" dxfId="29" priority="18">
      <formula>$D$15&lt;&gt;$E$15</formula>
    </cfRule>
  </conditionalFormatting>
  <conditionalFormatting sqref="D7:E7">
    <cfRule type="expression" dxfId="28" priority="16">
      <formula>$D$7&lt;&gt;$E$7</formula>
    </cfRule>
  </conditionalFormatting>
  <conditionalFormatting sqref="D8:E8">
    <cfRule type="expression" dxfId="27" priority="15">
      <formula>$D$8&lt;&gt;$E$8</formula>
    </cfRule>
  </conditionalFormatting>
  <conditionalFormatting sqref="E16:E19">
    <cfRule type="expression" dxfId="26" priority="14" stopIfTrue="1">
      <formula>#REF!&lt;&gt;#REF!</formula>
    </cfRule>
  </conditionalFormatting>
  <conditionalFormatting sqref="D20:F20">
    <cfRule type="expression" dxfId="25" priority="12">
      <formula>$D$20&lt;&gt;$E$20</formula>
    </cfRule>
  </conditionalFormatting>
  <conditionalFormatting sqref="D20:F20">
    <cfRule type="expression" dxfId="24" priority="11">
      <formula>$E$20&lt;&gt;$F$20</formula>
    </cfRule>
  </conditionalFormatting>
  <conditionalFormatting sqref="D21:F23 D24">
    <cfRule type="expression" dxfId="23" priority="10">
      <formula>$D$21&lt;&gt;$E$21</formula>
    </cfRule>
  </conditionalFormatting>
  <conditionalFormatting sqref="D21:F23 D24">
    <cfRule type="expression" dxfId="22" priority="9">
      <formula>$D$21&lt;&gt;$F$21</formula>
    </cfRule>
  </conditionalFormatting>
  <conditionalFormatting sqref="D9:F9">
    <cfRule type="expression" dxfId="21" priority="7">
      <formula>$D$9&lt;&gt;$F$9</formula>
    </cfRule>
    <cfRule type="expression" dxfId="20" priority="8">
      <formula>$D$9&lt;&gt;$E$9</formula>
    </cfRule>
  </conditionalFormatting>
  <conditionalFormatting sqref="D10:G10">
    <cfRule type="expression" dxfId="19" priority="6">
      <formula>$D$10&lt;&gt;$E$10</formula>
    </cfRule>
  </conditionalFormatting>
  <conditionalFormatting sqref="F12:G12">
    <cfRule type="expression" dxfId="18" priority="5">
      <formula>$F$12&lt;&gt;$G$12</formula>
    </cfRule>
  </conditionalFormatting>
  <conditionalFormatting sqref="F35:G35">
    <cfRule type="expression" dxfId="17" priority="4" stopIfTrue="1">
      <formula>$F$35&lt;&gt;$G$35</formula>
    </cfRule>
  </conditionalFormatting>
  <conditionalFormatting sqref="F30 F25:G26">
    <cfRule type="expression" dxfId="16" priority="3" stopIfTrue="1">
      <formula>$F26&lt;&gt;$G26</formula>
    </cfRule>
  </conditionalFormatting>
  <conditionalFormatting sqref="G31 F25:F31">
    <cfRule type="expression" dxfId="15" priority="2" stopIfTrue="1">
      <formula>$F25&lt;&gt;$G25</formula>
    </cfRule>
  </conditionalFormatting>
  <conditionalFormatting sqref="E13:F13">
    <cfRule type="expression" dxfId="14" priority="1">
      <formula>$E$13&lt;&gt;$F$13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autoPageBreaks="0"/>
  </sheetPr>
  <dimension ref="A1:Y201"/>
  <sheetViews>
    <sheetView showGridLines="0" topLeftCell="A100" workbookViewId="0">
      <selection activeCell="Y122" sqref="Y122"/>
    </sheetView>
  </sheetViews>
  <sheetFormatPr defaultColWidth="8" defaultRowHeight="12.75" customHeight="1" x14ac:dyDescent="0.25"/>
  <cols>
    <col min="1" max="1" width="3.109375" customWidth="1"/>
    <col min="2" max="2" width="21.109375" customWidth="1"/>
    <col min="3" max="3" width="7.44140625" customWidth="1"/>
    <col min="4" max="4" width="1.44140625" customWidth="1"/>
    <col min="5" max="5" width="11.88671875" customWidth="1"/>
    <col min="6" max="6" width="2.33203125" customWidth="1"/>
    <col min="7" max="7" width="11.33203125" customWidth="1"/>
    <col min="8" max="8" width="2" customWidth="1"/>
    <col min="9" max="9" width="12.88671875" customWidth="1"/>
    <col min="10" max="10" width="1.44140625" customWidth="1"/>
    <col min="11" max="11" width="11.5546875" hidden="1" customWidth="1"/>
    <col min="12" max="12" width="2.88671875" hidden="1" customWidth="1"/>
    <col min="13" max="13" width="1" hidden="1" customWidth="1"/>
    <col min="14" max="14" width="9.109375" hidden="1" customWidth="1"/>
    <col min="15" max="15" width="2.33203125" customWidth="1"/>
    <col min="16" max="16" width="2.109375" customWidth="1"/>
    <col min="17" max="17" width="9.33203125" customWidth="1"/>
    <col min="18" max="18" width="4" customWidth="1"/>
    <col min="19" max="19" width="2.88671875" customWidth="1"/>
    <col min="20" max="20" width="12.5546875" customWidth="1"/>
    <col min="21" max="21" width="1" customWidth="1"/>
    <col min="22" max="22" width="1.109375" customWidth="1"/>
    <col min="23" max="23" width="2.88671875" customWidth="1"/>
    <col min="24" max="24" width="9.88671875" customWidth="1"/>
    <col min="25" max="25" width="9.6640625" bestFit="1" customWidth="1"/>
    <col min="26" max="256" width="6.88671875" customWidth="1"/>
  </cols>
  <sheetData>
    <row r="1" spans="1:24" ht="6" customHeight="1" x14ac:dyDescent="0.25"/>
    <row r="2" spans="1:24" ht="18.75" customHeight="1" x14ac:dyDescent="0.25">
      <c r="R2" s="583" t="s">
        <v>794</v>
      </c>
      <c r="S2" s="583"/>
      <c r="T2" s="583"/>
      <c r="U2" s="583"/>
      <c r="V2" s="583"/>
      <c r="W2" s="583"/>
    </row>
    <row r="3" spans="1:24" ht="24" customHeight="1" x14ac:dyDescent="0.25">
      <c r="A3" s="584" t="s">
        <v>793</v>
      </c>
      <c r="B3" s="584"/>
      <c r="C3" s="584"/>
      <c r="D3" s="584"/>
      <c r="E3" s="584"/>
      <c r="F3" s="584"/>
      <c r="G3" s="584"/>
      <c r="H3" s="584"/>
      <c r="I3" s="584"/>
      <c r="J3" s="584"/>
      <c r="K3" s="584"/>
      <c r="L3" s="584"/>
      <c r="M3" s="584"/>
      <c r="N3" s="584"/>
      <c r="O3" s="584"/>
      <c r="P3" s="584"/>
      <c r="Q3" s="584"/>
      <c r="R3" s="584"/>
      <c r="S3" s="584"/>
      <c r="T3" s="584"/>
      <c r="U3" s="584"/>
      <c r="V3" s="584"/>
      <c r="W3" s="584"/>
    </row>
    <row r="4" spans="1:24" ht="24" customHeight="1" x14ac:dyDescent="0.25">
      <c r="A4" s="584" t="s">
        <v>792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584"/>
      <c r="O4" s="584"/>
      <c r="P4" s="584"/>
      <c r="Q4" s="584"/>
      <c r="R4" s="584"/>
      <c r="S4" s="584"/>
      <c r="T4" s="584"/>
      <c r="U4" s="584"/>
      <c r="V4" s="584"/>
      <c r="W4" s="584"/>
    </row>
    <row r="5" spans="1:24" ht="24" customHeight="1" x14ac:dyDescent="0.25">
      <c r="A5" s="584" t="s">
        <v>791</v>
      </c>
      <c r="B5" s="584"/>
      <c r="C5" s="584"/>
      <c r="D5" s="584"/>
      <c r="E5" s="584"/>
      <c r="F5" s="584"/>
      <c r="G5" s="584"/>
      <c r="H5" s="584"/>
      <c r="I5" s="584"/>
      <c r="J5" s="584"/>
      <c r="K5" s="584"/>
      <c r="L5" s="584"/>
      <c r="M5" s="584"/>
      <c r="N5" s="584"/>
      <c r="O5" s="584"/>
      <c r="P5" s="584"/>
      <c r="Q5" s="584"/>
      <c r="R5" s="584"/>
      <c r="S5" s="584"/>
      <c r="T5" s="584"/>
      <c r="U5" s="584"/>
      <c r="V5" s="584"/>
      <c r="W5" s="584"/>
    </row>
    <row r="6" spans="1:24" ht="20.25" customHeight="1" x14ac:dyDescent="0.25"/>
    <row r="7" spans="1:24" ht="12" customHeight="1" x14ac:dyDescent="0.25">
      <c r="A7" s="585" t="s">
        <v>790</v>
      </c>
      <c r="B7" s="585"/>
      <c r="C7" s="585"/>
      <c r="E7" s="585" t="s">
        <v>789</v>
      </c>
      <c r="F7" s="585" t="s">
        <v>788</v>
      </c>
      <c r="G7" s="585"/>
      <c r="H7" s="585" t="s">
        <v>787</v>
      </c>
      <c r="I7" s="585"/>
      <c r="K7" s="585" t="s">
        <v>786</v>
      </c>
      <c r="L7" s="585"/>
      <c r="N7" s="585" t="s">
        <v>785</v>
      </c>
      <c r="Q7" s="585" t="s">
        <v>784</v>
      </c>
      <c r="R7" s="585"/>
      <c r="T7" s="585" t="s">
        <v>783</v>
      </c>
      <c r="W7" s="585" t="s">
        <v>782</v>
      </c>
      <c r="X7" s="585"/>
    </row>
    <row r="8" spans="1:24" ht="12" customHeight="1" x14ac:dyDescent="0.25">
      <c r="A8" s="585"/>
      <c r="B8" s="585"/>
      <c r="C8" s="585"/>
      <c r="E8" s="585"/>
      <c r="F8" s="585"/>
      <c r="G8" s="585"/>
      <c r="H8" s="585"/>
      <c r="I8" s="585"/>
      <c r="K8" s="585"/>
      <c r="L8" s="585"/>
      <c r="N8" s="585"/>
      <c r="Q8" s="585"/>
      <c r="R8" s="585"/>
      <c r="T8" s="585"/>
      <c r="W8" s="585"/>
      <c r="X8" s="585"/>
    </row>
    <row r="9" spans="1:24" ht="16.5" customHeight="1" x14ac:dyDescent="0.25">
      <c r="A9" s="585"/>
      <c r="B9" s="585"/>
      <c r="C9" s="585"/>
      <c r="E9" s="585"/>
      <c r="F9" s="585"/>
      <c r="G9" s="585"/>
      <c r="H9" s="585"/>
      <c r="I9" s="585"/>
      <c r="K9" s="585"/>
      <c r="L9" s="585"/>
      <c r="N9" s="585"/>
      <c r="Q9" s="585"/>
      <c r="R9" s="585"/>
      <c r="T9" s="585"/>
      <c r="W9" s="585"/>
      <c r="X9" s="585"/>
    </row>
    <row r="10" spans="1:24" ht="6" customHeight="1" x14ac:dyDescent="0.25"/>
    <row r="11" spans="1:24" ht="14.25" customHeight="1" x14ac:dyDescent="0.25">
      <c r="B11" s="586" t="s">
        <v>781</v>
      </c>
      <c r="C11" s="586"/>
      <c r="E11" s="551">
        <v>477722</v>
      </c>
      <c r="G11" s="551">
        <v>477722</v>
      </c>
      <c r="I11" s="551">
        <v>477722</v>
      </c>
    </row>
    <row r="12" spans="1:24" ht="14.25" customHeight="1" x14ac:dyDescent="0.25">
      <c r="B12" s="586"/>
      <c r="C12" s="586"/>
    </row>
    <row r="13" spans="1:24" ht="14.25" customHeight="1" x14ac:dyDescent="0.25">
      <c r="B13" s="586" t="s">
        <v>780</v>
      </c>
      <c r="C13" s="586"/>
      <c r="E13" s="551">
        <v>14933</v>
      </c>
      <c r="G13" s="551">
        <v>14933</v>
      </c>
      <c r="I13" s="551">
        <v>14933</v>
      </c>
    </row>
    <row r="14" spans="1:24" ht="14.25" customHeight="1" x14ac:dyDescent="0.25">
      <c r="B14" s="586"/>
      <c r="C14" s="586"/>
    </row>
    <row r="15" spans="1:24" ht="14.25" customHeight="1" x14ac:dyDescent="0.25">
      <c r="B15" s="586" t="s">
        <v>779</v>
      </c>
      <c r="C15" s="586"/>
      <c r="E15" s="551">
        <v>3220225</v>
      </c>
      <c r="G15" s="551">
        <v>3220225</v>
      </c>
      <c r="I15" s="551">
        <v>3220225</v>
      </c>
    </row>
    <row r="16" spans="1:24" ht="14.25" customHeight="1" x14ac:dyDescent="0.25">
      <c r="B16" s="586"/>
      <c r="C16" s="586"/>
    </row>
    <row r="17" spans="2:24" ht="14.25" customHeight="1" x14ac:dyDescent="0.25">
      <c r="B17" s="586" t="s">
        <v>778</v>
      </c>
      <c r="C17" s="586"/>
      <c r="E17" s="551">
        <v>1014627</v>
      </c>
      <c r="G17" s="551">
        <v>1014627</v>
      </c>
      <c r="I17" s="551">
        <v>1014627</v>
      </c>
    </row>
    <row r="18" spans="2:24" ht="14.25" customHeight="1" x14ac:dyDescent="0.25">
      <c r="B18" s="586"/>
      <c r="C18" s="586"/>
    </row>
    <row r="19" spans="2:24" ht="14.25" customHeight="1" x14ac:dyDescent="0.25">
      <c r="B19" s="586" t="s">
        <v>777</v>
      </c>
      <c r="C19" s="586"/>
      <c r="E19" s="551">
        <v>7049</v>
      </c>
      <c r="I19" s="551">
        <v>7049</v>
      </c>
    </row>
    <row r="20" spans="2:24" ht="14.25" customHeight="1" x14ac:dyDescent="0.25">
      <c r="B20" s="586"/>
      <c r="C20" s="586"/>
    </row>
    <row r="21" spans="2:24" ht="14.25" customHeight="1" x14ac:dyDescent="0.25">
      <c r="B21" s="586" t="s">
        <v>776</v>
      </c>
      <c r="C21" s="586"/>
      <c r="E21" s="551">
        <v>263299</v>
      </c>
      <c r="G21" s="551">
        <v>238212</v>
      </c>
      <c r="I21" s="551">
        <v>238212</v>
      </c>
      <c r="Q21" s="587">
        <v>25087</v>
      </c>
      <c r="R21" s="587"/>
      <c r="T21" s="587">
        <v>25087</v>
      </c>
      <c r="U21" s="587"/>
      <c r="W21" s="587">
        <v>25087</v>
      </c>
      <c r="X21" s="587"/>
    </row>
    <row r="22" spans="2:24" ht="14.25" customHeight="1" x14ac:dyDescent="0.25">
      <c r="B22" s="586"/>
      <c r="C22" s="586"/>
    </row>
    <row r="23" spans="2:24" ht="14.25" customHeight="1" x14ac:dyDescent="0.25">
      <c r="B23" s="586" t="s">
        <v>775</v>
      </c>
      <c r="C23" s="586"/>
      <c r="E23" s="551">
        <v>137339</v>
      </c>
      <c r="G23" s="551">
        <v>125744</v>
      </c>
      <c r="I23" s="551">
        <v>125744</v>
      </c>
      <c r="Q23" s="587">
        <v>11595</v>
      </c>
      <c r="R23" s="587"/>
      <c r="T23" s="587">
        <v>11595</v>
      </c>
      <c r="U23" s="587"/>
      <c r="W23" s="587">
        <v>11595</v>
      </c>
      <c r="X23" s="587"/>
    </row>
    <row r="24" spans="2:24" ht="14.25" customHeight="1" x14ac:dyDescent="0.25">
      <c r="B24" s="586"/>
      <c r="C24" s="586"/>
    </row>
    <row r="25" spans="2:24" ht="14.25" customHeight="1" x14ac:dyDescent="0.25">
      <c r="B25" s="586" t="s">
        <v>774</v>
      </c>
      <c r="C25" s="586"/>
      <c r="E25" s="551">
        <v>557933</v>
      </c>
      <c r="G25" s="551">
        <v>557933</v>
      </c>
      <c r="I25" s="551">
        <v>557933</v>
      </c>
    </row>
    <row r="26" spans="2:24" ht="14.25" customHeight="1" x14ac:dyDescent="0.25">
      <c r="B26" s="586"/>
      <c r="C26" s="586"/>
    </row>
    <row r="27" spans="2:24" ht="14.25" customHeight="1" x14ac:dyDescent="0.25">
      <c r="B27" s="586" t="s">
        <v>773</v>
      </c>
      <c r="C27" s="586"/>
      <c r="E27" s="551">
        <v>4137</v>
      </c>
      <c r="G27" s="551">
        <v>4137</v>
      </c>
      <c r="I27" s="551">
        <v>4137</v>
      </c>
    </row>
    <row r="28" spans="2:24" ht="14.25" customHeight="1" x14ac:dyDescent="0.25">
      <c r="B28" s="586"/>
      <c r="C28" s="586"/>
    </row>
    <row r="29" spans="2:24" ht="14.25" customHeight="1" x14ac:dyDescent="0.25">
      <c r="B29" s="586" t="s">
        <v>772</v>
      </c>
      <c r="C29" s="586"/>
      <c r="E29" s="551">
        <v>123601</v>
      </c>
      <c r="G29" s="551">
        <v>121055</v>
      </c>
      <c r="I29" s="551">
        <v>121593</v>
      </c>
      <c r="Q29" s="587">
        <v>2008</v>
      </c>
      <c r="R29" s="587"/>
      <c r="T29" s="587">
        <v>2008</v>
      </c>
      <c r="U29" s="587"/>
      <c r="W29" s="587">
        <v>2008</v>
      </c>
      <c r="X29" s="587"/>
    </row>
    <row r="30" spans="2:24" ht="14.25" customHeight="1" x14ac:dyDescent="0.25">
      <c r="B30" s="586"/>
      <c r="C30" s="586"/>
    </row>
    <row r="31" spans="2:24" ht="14.25" customHeight="1" x14ac:dyDescent="0.25">
      <c r="B31" s="586" t="s">
        <v>771</v>
      </c>
      <c r="C31" s="586"/>
      <c r="E31" s="551">
        <v>29024</v>
      </c>
      <c r="G31" s="551">
        <v>28947</v>
      </c>
      <c r="I31" s="551">
        <v>29024</v>
      </c>
    </row>
    <row r="32" spans="2:24" ht="14.25" customHeight="1" x14ac:dyDescent="0.25">
      <c r="B32" s="586"/>
      <c r="C32" s="586"/>
    </row>
    <row r="33" spans="2:24" ht="14.25" customHeight="1" x14ac:dyDescent="0.25">
      <c r="B33" s="586" t="s">
        <v>770</v>
      </c>
      <c r="C33" s="586"/>
      <c r="E33" s="551">
        <v>65252</v>
      </c>
      <c r="G33" s="551">
        <v>65252</v>
      </c>
      <c r="I33" s="551">
        <v>65252</v>
      </c>
    </row>
    <row r="34" spans="2:24" ht="14.25" customHeight="1" x14ac:dyDescent="0.25">
      <c r="B34" s="586"/>
      <c r="C34" s="586"/>
    </row>
    <row r="35" spans="2:24" ht="14.25" customHeight="1" x14ac:dyDescent="0.25">
      <c r="B35" s="586" t="s">
        <v>769</v>
      </c>
      <c r="C35" s="586"/>
      <c r="E35" s="551">
        <v>1790563</v>
      </c>
      <c r="G35" s="551">
        <v>1607218</v>
      </c>
      <c r="I35" s="551">
        <v>1607218</v>
      </c>
      <c r="Q35" s="587">
        <v>183345</v>
      </c>
      <c r="R35" s="587"/>
      <c r="T35" s="587">
        <v>183345</v>
      </c>
      <c r="U35" s="587"/>
      <c r="W35" s="587">
        <v>183345</v>
      </c>
      <c r="X35" s="587"/>
    </row>
    <row r="36" spans="2:24" ht="14.25" customHeight="1" x14ac:dyDescent="0.25">
      <c r="B36" s="586"/>
      <c r="C36" s="586"/>
    </row>
    <row r="37" spans="2:24" ht="14.25" customHeight="1" x14ac:dyDescent="0.25">
      <c r="B37" s="586" t="s">
        <v>768</v>
      </c>
      <c r="C37" s="586"/>
      <c r="E37" s="551">
        <v>185976</v>
      </c>
      <c r="G37" s="551">
        <v>165087</v>
      </c>
      <c r="I37" s="551">
        <v>165459</v>
      </c>
      <c r="Q37" s="587">
        <v>20517</v>
      </c>
      <c r="R37" s="587"/>
      <c r="T37" s="587">
        <v>20517</v>
      </c>
      <c r="U37" s="587"/>
      <c r="W37" s="587">
        <v>20517</v>
      </c>
      <c r="X37" s="587"/>
    </row>
    <row r="38" spans="2:24" ht="14.25" customHeight="1" x14ac:dyDescent="0.25">
      <c r="B38" s="586"/>
      <c r="C38" s="586"/>
    </row>
    <row r="39" spans="2:24" ht="14.25" customHeight="1" x14ac:dyDescent="0.25">
      <c r="B39" s="586" t="s">
        <v>767</v>
      </c>
      <c r="C39" s="586"/>
      <c r="E39" s="551">
        <v>28200</v>
      </c>
      <c r="G39" s="551">
        <v>28200</v>
      </c>
      <c r="I39" s="551">
        <v>28200</v>
      </c>
    </row>
    <row r="40" spans="2:24" ht="14.25" customHeight="1" x14ac:dyDescent="0.25">
      <c r="B40" s="586"/>
      <c r="C40" s="586"/>
    </row>
    <row r="41" spans="2:24" ht="14.25" customHeight="1" x14ac:dyDescent="0.25">
      <c r="B41" s="586" t="s">
        <v>766</v>
      </c>
      <c r="C41" s="586"/>
      <c r="E41" s="551">
        <v>64050</v>
      </c>
      <c r="G41" s="551">
        <v>64050</v>
      </c>
      <c r="I41" s="551">
        <v>64050</v>
      </c>
    </row>
    <row r="42" spans="2:24" ht="14.25" customHeight="1" x14ac:dyDescent="0.25">
      <c r="B42" s="586"/>
      <c r="C42" s="586"/>
    </row>
    <row r="43" spans="2:24" ht="14.25" customHeight="1" x14ac:dyDescent="0.25">
      <c r="B43" s="586" t="s">
        <v>765</v>
      </c>
      <c r="C43" s="586"/>
      <c r="E43" s="551">
        <v>275706</v>
      </c>
      <c r="G43" s="551">
        <v>275706</v>
      </c>
      <c r="I43" s="551">
        <v>275706</v>
      </c>
    </row>
    <row r="44" spans="2:24" ht="14.25" customHeight="1" x14ac:dyDescent="0.25">
      <c r="B44" s="586"/>
      <c r="C44" s="586"/>
    </row>
    <row r="45" spans="2:24" ht="14.25" customHeight="1" x14ac:dyDescent="0.25">
      <c r="B45" s="586" t="s">
        <v>764</v>
      </c>
      <c r="C45" s="586"/>
      <c r="E45" s="551">
        <v>147560</v>
      </c>
      <c r="G45" s="551">
        <v>147560</v>
      </c>
      <c r="I45" s="551">
        <v>147560</v>
      </c>
    </row>
    <row r="46" spans="2:24" ht="14.25" customHeight="1" x14ac:dyDescent="0.25">
      <c r="B46" s="586"/>
      <c r="C46" s="586"/>
    </row>
    <row r="47" spans="2:24" ht="14.25" customHeight="1" x14ac:dyDescent="0.25">
      <c r="B47" s="586" t="s">
        <v>763</v>
      </c>
      <c r="C47" s="586"/>
      <c r="E47" s="551">
        <v>35100</v>
      </c>
      <c r="G47" s="551">
        <v>35100</v>
      </c>
      <c r="I47" s="551">
        <v>35100</v>
      </c>
    </row>
    <row r="48" spans="2:24" ht="14.25" customHeight="1" x14ac:dyDescent="0.25">
      <c r="B48" s="586"/>
      <c r="C48" s="586"/>
    </row>
    <row r="49" spans="2:24" ht="14.25" customHeight="1" x14ac:dyDescent="0.25">
      <c r="B49" s="586" t="s">
        <v>762</v>
      </c>
      <c r="C49" s="586"/>
      <c r="E49" s="551">
        <v>25500</v>
      </c>
      <c r="G49" s="551">
        <v>423</v>
      </c>
      <c r="I49" s="551">
        <v>423</v>
      </c>
      <c r="Q49" s="587">
        <v>25077</v>
      </c>
      <c r="R49" s="587"/>
      <c r="T49" s="587">
        <v>25077</v>
      </c>
      <c r="U49" s="587"/>
      <c r="W49" s="587">
        <v>25077</v>
      </c>
      <c r="X49" s="587"/>
    </row>
    <row r="50" spans="2:24" ht="14.25" customHeight="1" x14ac:dyDescent="0.25">
      <c r="B50" s="586"/>
      <c r="C50" s="586"/>
    </row>
    <row r="51" spans="2:24" ht="14.25" customHeight="1" x14ac:dyDescent="0.25">
      <c r="B51" s="586" t="s">
        <v>761</v>
      </c>
      <c r="C51" s="586"/>
      <c r="E51" s="551">
        <v>82550</v>
      </c>
      <c r="G51" s="551">
        <v>57043</v>
      </c>
      <c r="I51" s="551">
        <v>57993</v>
      </c>
      <c r="Q51" s="587">
        <v>24557</v>
      </c>
      <c r="R51" s="587"/>
      <c r="T51" s="587">
        <v>24557</v>
      </c>
      <c r="U51" s="587"/>
      <c r="W51" s="587">
        <v>24557</v>
      </c>
      <c r="X51" s="587"/>
    </row>
    <row r="52" spans="2:24" ht="14.25" customHeight="1" x14ac:dyDescent="0.25">
      <c r="B52" s="586"/>
      <c r="C52" s="586"/>
    </row>
    <row r="53" spans="2:24" ht="14.25" customHeight="1" x14ac:dyDescent="0.25">
      <c r="B53" s="586" t="s">
        <v>760</v>
      </c>
      <c r="C53" s="586"/>
      <c r="E53" s="551">
        <v>46465</v>
      </c>
      <c r="G53" s="551">
        <v>27756</v>
      </c>
      <c r="I53" s="551">
        <v>28218</v>
      </c>
      <c r="Q53" s="587">
        <v>18247</v>
      </c>
      <c r="R53" s="587"/>
      <c r="T53" s="587">
        <v>18247</v>
      </c>
      <c r="U53" s="587"/>
      <c r="W53" s="587">
        <v>18247</v>
      </c>
      <c r="X53" s="587"/>
    </row>
    <row r="54" spans="2:24" ht="14.25" customHeight="1" x14ac:dyDescent="0.25">
      <c r="B54" s="586"/>
      <c r="C54" s="586"/>
    </row>
    <row r="55" spans="2:24" ht="14.25" customHeight="1" x14ac:dyDescent="0.25">
      <c r="B55" s="586" t="s">
        <v>759</v>
      </c>
      <c r="C55" s="586"/>
      <c r="E55" s="551">
        <v>50125</v>
      </c>
      <c r="G55" s="551">
        <v>34514</v>
      </c>
      <c r="I55" s="551">
        <v>35078</v>
      </c>
      <c r="Q55" s="587">
        <v>15047</v>
      </c>
      <c r="R55" s="587"/>
      <c r="T55" s="587">
        <v>15047</v>
      </c>
      <c r="U55" s="587"/>
      <c r="W55" s="587">
        <v>15047</v>
      </c>
      <c r="X55" s="587"/>
    </row>
    <row r="56" spans="2:24" ht="14.25" customHeight="1" x14ac:dyDescent="0.25">
      <c r="B56" s="586"/>
      <c r="C56" s="586"/>
    </row>
    <row r="57" spans="2:24" ht="14.25" customHeight="1" x14ac:dyDescent="0.25">
      <c r="B57" s="586" t="s">
        <v>758</v>
      </c>
      <c r="C57" s="586"/>
      <c r="E57" s="551">
        <v>57616</v>
      </c>
      <c r="G57" s="551">
        <v>39311</v>
      </c>
      <c r="I57" s="551">
        <v>39969</v>
      </c>
      <c r="Q57" s="587">
        <v>17647</v>
      </c>
      <c r="R57" s="587"/>
      <c r="T57" s="587">
        <v>17647</v>
      </c>
      <c r="U57" s="587"/>
      <c r="W57" s="587">
        <v>17647</v>
      </c>
      <c r="X57" s="587"/>
    </row>
    <row r="58" spans="2:24" ht="14.25" customHeight="1" x14ac:dyDescent="0.25">
      <c r="B58" s="586"/>
      <c r="C58" s="586"/>
    </row>
    <row r="59" spans="2:24" ht="14.25" customHeight="1" x14ac:dyDescent="0.25">
      <c r="B59" s="586" t="s">
        <v>757</v>
      </c>
      <c r="C59" s="586"/>
      <c r="E59" s="551">
        <v>168412</v>
      </c>
      <c r="G59" s="551">
        <v>111671</v>
      </c>
      <c r="I59" s="551">
        <v>114566</v>
      </c>
      <c r="Q59" s="587">
        <v>53846</v>
      </c>
      <c r="R59" s="587"/>
      <c r="T59" s="587">
        <v>53846</v>
      </c>
      <c r="U59" s="587"/>
      <c r="W59" s="587">
        <v>53846</v>
      </c>
      <c r="X59" s="587"/>
    </row>
    <row r="60" spans="2:24" ht="14.25" customHeight="1" x14ac:dyDescent="0.25">
      <c r="B60" s="586"/>
      <c r="C60" s="586"/>
    </row>
    <row r="61" spans="2:24" ht="14.25" customHeight="1" x14ac:dyDescent="0.25">
      <c r="B61" s="586" t="s">
        <v>756</v>
      </c>
      <c r="C61" s="586"/>
      <c r="E61" s="551">
        <v>88790</v>
      </c>
      <c r="G61" s="551">
        <v>88790</v>
      </c>
      <c r="I61" s="551">
        <v>88790</v>
      </c>
    </row>
    <row r="62" spans="2:24" ht="14.25" customHeight="1" x14ac:dyDescent="0.25">
      <c r="B62" s="586"/>
      <c r="C62" s="586"/>
    </row>
    <row r="63" spans="2:24" ht="14.25" customHeight="1" x14ac:dyDescent="0.25">
      <c r="B63" s="586" t="s">
        <v>755</v>
      </c>
      <c r="C63" s="586"/>
      <c r="E63" s="551">
        <v>8518383</v>
      </c>
      <c r="G63" s="551">
        <v>8302187</v>
      </c>
      <c r="I63" s="551">
        <v>8314933</v>
      </c>
      <c r="Q63" s="587">
        <v>203450</v>
      </c>
      <c r="R63" s="587"/>
      <c r="T63" s="587">
        <v>203450</v>
      </c>
      <c r="U63" s="587"/>
      <c r="W63" s="587">
        <v>203450</v>
      </c>
      <c r="X63" s="587"/>
    </row>
    <row r="64" spans="2:24" ht="14.25" customHeight="1" x14ac:dyDescent="0.25">
      <c r="B64" s="586"/>
      <c r="C64" s="586"/>
    </row>
    <row r="65" spans="2:24" ht="14.25" customHeight="1" x14ac:dyDescent="0.25">
      <c r="B65" s="586" t="s">
        <v>754</v>
      </c>
      <c r="C65" s="586"/>
      <c r="E65" s="551">
        <v>55775</v>
      </c>
      <c r="G65" s="551">
        <v>17890</v>
      </c>
      <c r="I65" s="551">
        <v>17890</v>
      </c>
      <c r="Q65" s="587">
        <v>37885</v>
      </c>
      <c r="R65" s="587"/>
      <c r="T65" s="587">
        <v>37885</v>
      </c>
      <c r="U65" s="587"/>
      <c r="W65" s="587">
        <v>37885</v>
      </c>
      <c r="X65" s="587"/>
    </row>
    <row r="66" spans="2:24" ht="14.25" customHeight="1" x14ac:dyDescent="0.25">
      <c r="B66" s="586"/>
      <c r="C66" s="586"/>
    </row>
    <row r="67" spans="2:24" ht="14.25" customHeight="1" x14ac:dyDescent="0.25">
      <c r="B67" s="586" t="s">
        <v>753</v>
      </c>
      <c r="C67" s="586"/>
      <c r="E67" s="551">
        <v>606689</v>
      </c>
      <c r="G67" s="551">
        <v>276010</v>
      </c>
      <c r="I67" s="551">
        <v>512361</v>
      </c>
      <c r="Q67" s="587">
        <v>94328</v>
      </c>
      <c r="R67" s="587"/>
      <c r="T67" s="587">
        <v>94328</v>
      </c>
      <c r="U67" s="587"/>
      <c r="W67" s="587">
        <v>94328</v>
      </c>
      <c r="X67" s="587"/>
    </row>
    <row r="68" spans="2:24" ht="14.25" customHeight="1" x14ac:dyDescent="0.25">
      <c r="B68" s="586"/>
      <c r="C68" s="586"/>
    </row>
    <row r="69" spans="2:24" ht="14.25" customHeight="1" x14ac:dyDescent="0.25">
      <c r="B69" s="586" t="s">
        <v>752</v>
      </c>
      <c r="C69" s="586"/>
      <c r="E69" s="551">
        <v>146349</v>
      </c>
      <c r="G69" s="551">
        <v>81687</v>
      </c>
      <c r="I69" s="551">
        <v>121270</v>
      </c>
      <c r="Q69" s="587">
        <v>25079</v>
      </c>
      <c r="R69" s="587"/>
      <c r="T69" s="587">
        <v>25079</v>
      </c>
      <c r="U69" s="587"/>
      <c r="W69" s="587">
        <v>25079</v>
      </c>
      <c r="X69" s="587"/>
    </row>
    <row r="70" spans="2:24" ht="14.25" customHeight="1" x14ac:dyDescent="0.25">
      <c r="B70" s="586"/>
      <c r="C70" s="586"/>
    </row>
    <row r="71" spans="2:24" ht="14.25" customHeight="1" x14ac:dyDescent="0.25">
      <c r="B71" s="586" t="s">
        <v>751</v>
      </c>
      <c r="C71" s="586"/>
      <c r="E71" s="551">
        <v>63661465</v>
      </c>
      <c r="G71" s="551">
        <v>2931769</v>
      </c>
      <c r="I71" s="551">
        <v>2932200</v>
      </c>
      <c r="Q71" s="587">
        <v>60729265</v>
      </c>
      <c r="R71" s="587"/>
      <c r="T71" s="587">
        <v>60729265</v>
      </c>
      <c r="U71" s="587"/>
      <c r="W71" s="587">
        <v>60729265</v>
      </c>
      <c r="X71" s="587"/>
    </row>
    <row r="72" spans="2:24" ht="14.25" customHeight="1" x14ac:dyDescent="0.25">
      <c r="B72" s="586"/>
      <c r="C72" s="586"/>
    </row>
    <row r="73" spans="2:24" ht="14.25" customHeight="1" x14ac:dyDescent="0.25">
      <c r="B73" s="586" t="s">
        <v>750</v>
      </c>
      <c r="C73" s="586"/>
      <c r="E73" s="551">
        <v>489250</v>
      </c>
      <c r="G73" s="551">
        <v>487195</v>
      </c>
      <c r="I73" s="551">
        <v>489250</v>
      </c>
    </row>
    <row r="74" spans="2:24" ht="14.25" customHeight="1" x14ac:dyDescent="0.25">
      <c r="B74" s="586"/>
      <c r="C74" s="586"/>
    </row>
    <row r="75" spans="2:24" ht="14.25" customHeight="1" x14ac:dyDescent="0.25">
      <c r="B75" s="586" t="s">
        <v>749</v>
      </c>
      <c r="C75" s="586"/>
      <c r="E75" s="551">
        <v>3196634</v>
      </c>
      <c r="G75" s="551">
        <v>3196634</v>
      </c>
      <c r="I75" s="551">
        <v>3196634</v>
      </c>
    </row>
    <row r="76" spans="2:24" ht="14.25" customHeight="1" x14ac:dyDescent="0.25">
      <c r="B76" s="586"/>
      <c r="C76" s="586"/>
    </row>
    <row r="77" spans="2:24" ht="14.25" customHeight="1" x14ac:dyDescent="0.25">
      <c r="B77" s="586" t="s">
        <v>748</v>
      </c>
      <c r="C77" s="586"/>
      <c r="E77" s="551">
        <v>84900</v>
      </c>
      <c r="G77" s="551">
        <v>84900</v>
      </c>
      <c r="I77" s="551">
        <v>84900</v>
      </c>
    </row>
    <row r="78" spans="2:24" ht="14.25" customHeight="1" x14ac:dyDescent="0.25">
      <c r="B78" s="586"/>
      <c r="C78" s="586"/>
    </row>
    <row r="79" spans="2:24" ht="14.25" customHeight="1" x14ac:dyDescent="0.25">
      <c r="B79" s="586"/>
      <c r="C79" s="586"/>
    </row>
    <row r="80" spans="2:24" ht="14.25" customHeight="1" x14ac:dyDescent="0.25">
      <c r="B80" s="586" t="s">
        <v>747</v>
      </c>
      <c r="C80" s="586"/>
      <c r="E80" s="551">
        <v>1604</v>
      </c>
      <c r="G80" s="551">
        <v>1604</v>
      </c>
      <c r="I80" s="551">
        <v>1604</v>
      </c>
    </row>
    <row r="81" spans="2:24" ht="14.25" customHeight="1" x14ac:dyDescent="0.25">
      <c r="B81" s="586"/>
      <c r="C81" s="586"/>
    </row>
    <row r="82" spans="2:24" ht="14.25" customHeight="1" x14ac:dyDescent="0.25">
      <c r="B82" s="586" t="s">
        <v>746</v>
      </c>
      <c r="C82" s="586"/>
      <c r="E82" s="551">
        <v>9270</v>
      </c>
      <c r="G82" s="551">
        <v>9270</v>
      </c>
      <c r="I82" s="551">
        <v>9270</v>
      </c>
    </row>
    <row r="83" spans="2:24" ht="14.25" customHeight="1" x14ac:dyDescent="0.25">
      <c r="B83" s="586"/>
      <c r="C83" s="586"/>
    </row>
    <row r="84" spans="2:24" ht="14.25" customHeight="1" x14ac:dyDescent="0.25">
      <c r="B84" s="586" t="s">
        <v>745</v>
      </c>
      <c r="C84" s="586"/>
      <c r="E84" s="551">
        <v>23015</v>
      </c>
      <c r="G84" s="551">
        <v>23015</v>
      </c>
      <c r="I84" s="551">
        <v>23015</v>
      </c>
    </row>
    <row r="85" spans="2:24" ht="14.25" customHeight="1" x14ac:dyDescent="0.25">
      <c r="B85" s="586"/>
      <c r="C85" s="586"/>
    </row>
    <row r="86" spans="2:24" ht="14.25" customHeight="1" x14ac:dyDescent="0.25">
      <c r="B86" s="586" t="s">
        <v>744</v>
      </c>
      <c r="C86" s="586"/>
      <c r="E86" s="551">
        <v>262071</v>
      </c>
      <c r="I86" s="551">
        <v>262071</v>
      </c>
    </row>
    <row r="87" spans="2:24" ht="14.25" customHeight="1" x14ac:dyDescent="0.25">
      <c r="B87" s="586"/>
      <c r="C87" s="586"/>
    </row>
    <row r="88" spans="2:24" ht="14.25" customHeight="1" x14ac:dyDescent="0.25">
      <c r="B88" s="586"/>
      <c r="C88" s="586"/>
    </row>
    <row r="89" spans="2:24" ht="14.25" customHeight="1" x14ac:dyDescent="0.25">
      <c r="B89" s="586" t="s">
        <v>743</v>
      </c>
      <c r="C89" s="586"/>
      <c r="E89" s="551">
        <v>21</v>
      </c>
      <c r="G89" s="551">
        <v>16</v>
      </c>
      <c r="I89" s="551">
        <v>16</v>
      </c>
      <c r="Q89" s="587">
        <v>5</v>
      </c>
      <c r="R89" s="587"/>
      <c r="T89" s="587">
        <v>5</v>
      </c>
      <c r="U89" s="587"/>
      <c r="W89" s="587">
        <v>5</v>
      </c>
      <c r="X89" s="587"/>
    </row>
    <row r="90" spans="2:24" ht="14.25" customHeight="1" x14ac:dyDescent="0.25">
      <c r="B90" s="586"/>
      <c r="C90" s="586"/>
    </row>
    <row r="91" spans="2:24" ht="14.25" customHeight="1" x14ac:dyDescent="0.25">
      <c r="B91" s="586" t="s">
        <v>742</v>
      </c>
      <c r="C91" s="586"/>
      <c r="E91" s="551">
        <v>40000</v>
      </c>
      <c r="I91" s="551">
        <v>21000</v>
      </c>
      <c r="Q91" s="587">
        <v>19000</v>
      </c>
      <c r="R91" s="587"/>
      <c r="T91" s="587">
        <v>19000</v>
      </c>
      <c r="U91" s="587"/>
      <c r="W91" s="587">
        <v>19000</v>
      </c>
      <c r="X91" s="587"/>
    </row>
    <row r="92" spans="2:24" ht="14.25" customHeight="1" x14ac:dyDescent="0.25">
      <c r="B92" s="586"/>
      <c r="C92" s="586"/>
    </row>
    <row r="93" spans="2:24" ht="14.25" customHeight="1" x14ac:dyDescent="0.25">
      <c r="B93" s="586"/>
      <c r="C93" s="586"/>
    </row>
    <row r="94" spans="2:24" ht="14.25" customHeight="1" x14ac:dyDescent="0.25">
      <c r="B94" s="586" t="s">
        <v>741</v>
      </c>
      <c r="C94" s="586"/>
      <c r="E94" s="551">
        <v>2329784</v>
      </c>
      <c r="G94" s="551">
        <v>1380053</v>
      </c>
      <c r="I94" s="551">
        <v>1380963</v>
      </c>
      <c r="Q94" s="587">
        <v>948821</v>
      </c>
      <c r="R94" s="587"/>
      <c r="T94" s="587">
        <v>948821</v>
      </c>
      <c r="U94" s="587"/>
      <c r="W94" s="587">
        <v>948821</v>
      </c>
      <c r="X94" s="587"/>
    </row>
    <row r="95" spans="2:24" ht="14.25" customHeight="1" x14ac:dyDescent="0.25">
      <c r="B95" s="586"/>
      <c r="C95" s="586"/>
    </row>
    <row r="96" spans="2:24" ht="14.25" customHeight="1" x14ac:dyDescent="0.25">
      <c r="B96" s="586" t="s">
        <v>740</v>
      </c>
      <c r="C96" s="586"/>
      <c r="E96" s="551">
        <v>700000</v>
      </c>
      <c r="G96" s="551">
        <v>700000</v>
      </c>
      <c r="I96" s="551">
        <v>700000</v>
      </c>
    </row>
    <row r="97" spans="2:25" ht="14.25" customHeight="1" x14ac:dyDescent="0.25">
      <c r="B97" s="586"/>
      <c r="C97" s="586"/>
    </row>
    <row r="98" spans="2:25" ht="14.25" customHeight="1" x14ac:dyDescent="0.25">
      <c r="B98" s="586" t="s">
        <v>739</v>
      </c>
      <c r="C98" s="586"/>
      <c r="E98" s="551">
        <v>648602</v>
      </c>
      <c r="G98" s="551">
        <v>22803</v>
      </c>
      <c r="I98" s="551">
        <v>22803</v>
      </c>
      <c r="Q98" s="587">
        <v>625799</v>
      </c>
      <c r="R98" s="587"/>
      <c r="T98" s="587">
        <v>625799</v>
      </c>
      <c r="U98" s="587"/>
      <c r="W98" s="587">
        <v>625799</v>
      </c>
      <c r="X98" s="587"/>
    </row>
    <row r="99" spans="2:25" ht="14.25" customHeight="1" x14ac:dyDescent="0.25">
      <c r="B99" s="586"/>
      <c r="C99" s="586"/>
    </row>
    <row r="100" spans="2:25" ht="14.25" customHeight="1" x14ac:dyDescent="0.25">
      <c r="B100" s="586" t="s">
        <v>738</v>
      </c>
      <c r="C100" s="586"/>
      <c r="E100" s="551">
        <v>800000</v>
      </c>
      <c r="Q100" s="587">
        <v>800000</v>
      </c>
      <c r="R100" s="587"/>
      <c r="T100" s="587">
        <v>800000</v>
      </c>
      <c r="U100" s="587"/>
      <c r="W100" s="587">
        <v>800000</v>
      </c>
      <c r="X100" s="587"/>
      <c r="Y100" s="552">
        <f>W100</f>
        <v>800000</v>
      </c>
    </row>
    <row r="101" spans="2:25" ht="14.25" customHeight="1" x14ac:dyDescent="0.25">
      <c r="B101" s="586"/>
      <c r="C101" s="586"/>
    </row>
    <row r="102" spans="2:25" ht="14.25" customHeight="1" x14ac:dyDescent="0.25">
      <c r="B102" s="586" t="s">
        <v>737</v>
      </c>
      <c r="C102" s="586"/>
      <c r="E102" s="551">
        <v>62000</v>
      </c>
      <c r="G102" s="551">
        <v>62000</v>
      </c>
      <c r="I102" s="551">
        <v>62000</v>
      </c>
    </row>
    <row r="103" spans="2:25" ht="14.25" customHeight="1" x14ac:dyDescent="0.25">
      <c r="B103" s="586"/>
      <c r="C103" s="586"/>
    </row>
    <row r="104" spans="2:25" ht="14.25" customHeight="1" x14ac:dyDescent="0.25">
      <c r="B104" s="586" t="s">
        <v>736</v>
      </c>
      <c r="C104" s="586"/>
      <c r="E104" s="551">
        <v>186916</v>
      </c>
      <c r="G104" s="551">
        <v>21000</v>
      </c>
      <c r="I104" s="551">
        <v>21000</v>
      </c>
      <c r="Q104" s="587">
        <v>165916</v>
      </c>
      <c r="R104" s="587"/>
      <c r="T104" s="587">
        <v>165916</v>
      </c>
      <c r="U104" s="587"/>
      <c r="W104" s="587">
        <v>165916</v>
      </c>
      <c r="X104" s="587"/>
    </row>
    <row r="105" spans="2:25" ht="14.25" customHeight="1" x14ac:dyDescent="0.25">
      <c r="B105" s="586"/>
      <c r="C105" s="586"/>
    </row>
    <row r="106" spans="2:25" ht="14.25" customHeight="1" x14ac:dyDescent="0.25">
      <c r="B106" s="586" t="s">
        <v>735</v>
      </c>
      <c r="C106" s="586"/>
      <c r="E106" s="551">
        <v>300000</v>
      </c>
      <c r="Q106" s="587">
        <v>300000</v>
      </c>
      <c r="R106" s="587"/>
      <c r="T106" s="587">
        <v>300000</v>
      </c>
      <c r="U106" s="587"/>
      <c r="W106" s="587">
        <v>300000</v>
      </c>
      <c r="X106" s="587"/>
      <c r="Y106" s="552">
        <f>W106</f>
        <v>300000</v>
      </c>
    </row>
    <row r="107" spans="2:25" ht="14.25" customHeight="1" x14ac:dyDescent="0.25">
      <c r="B107" s="586"/>
      <c r="C107" s="586"/>
    </row>
    <row r="108" spans="2:25" ht="14.25" customHeight="1" x14ac:dyDescent="0.25">
      <c r="B108" s="586"/>
      <c r="C108" s="586"/>
    </row>
    <row r="109" spans="2:25" ht="14.25" customHeight="1" x14ac:dyDescent="0.25">
      <c r="B109" s="586" t="s">
        <v>734</v>
      </c>
      <c r="C109" s="586"/>
      <c r="E109" s="551">
        <v>128604</v>
      </c>
      <c r="G109" s="551">
        <v>22000</v>
      </c>
      <c r="I109" s="551">
        <v>22000</v>
      </c>
      <c r="Q109" s="587">
        <v>106604</v>
      </c>
      <c r="R109" s="587"/>
      <c r="T109" s="587">
        <v>106604</v>
      </c>
      <c r="U109" s="587"/>
      <c r="W109" s="587">
        <v>106604</v>
      </c>
      <c r="X109" s="587"/>
    </row>
    <row r="110" spans="2:25" ht="14.25" customHeight="1" x14ac:dyDescent="0.25">
      <c r="B110" s="586"/>
      <c r="C110" s="586"/>
    </row>
    <row r="111" spans="2:25" ht="14.25" customHeight="1" x14ac:dyDescent="0.25">
      <c r="B111" s="586" t="s">
        <v>733</v>
      </c>
      <c r="C111" s="586"/>
      <c r="E111" s="551">
        <v>800000</v>
      </c>
      <c r="Q111" s="587">
        <v>800000</v>
      </c>
      <c r="R111" s="587"/>
      <c r="T111" s="587">
        <v>800000</v>
      </c>
      <c r="U111" s="587"/>
      <c r="W111" s="587">
        <v>800000</v>
      </c>
      <c r="X111" s="587"/>
      <c r="Y111" s="552">
        <f>W111</f>
        <v>800000</v>
      </c>
    </row>
    <row r="112" spans="2:25" ht="14.25" customHeight="1" x14ac:dyDescent="0.25">
      <c r="B112" s="586"/>
      <c r="C112" s="586"/>
    </row>
    <row r="113" spans="2:25" ht="14.25" customHeight="1" x14ac:dyDescent="0.25">
      <c r="B113" s="586"/>
      <c r="C113" s="586"/>
    </row>
    <row r="114" spans="2:25" ht="14.25" customHeight="1" x14ac:dyDescent="0.25">
      <c r="B114" s="586" t="s">
        <v>732</v>
      </c>
      <c r="C114" s="586"/>
      <c r="E114" s="551">
        <v>46000</v>
      </c>
      <c r="G114" s="551">
        <v>21500</v>
      </c>
      <c r="I114" s="551">
        <v>21500</v>
      </c>
      <c r="Q114" s="587">
        <v>24500</v>
      </c>
      <c r="R114" s="587"/>
      <c r="T114" s="587">
        <v>24500</v>
      </c>
      <c r="U114" s="587"/>
      <c r="W114" s="587">
        <v>24500</v>
      </c>
      <c r="X114" s="587"/>
    </row>
    <row r="115" spans="2:25" ht="14.25" customHeight="1" x14ac:dyDescent="0.25">
      <c r="B115" s="586"/>
      <c r="C115" s="586"/>
    </row>
    <row r="116" spans="2:25" ht="14.25" customHeight="1" x14ac:dyDescent="0.25">
      <c r="B116" s="586"/>
      <c r="C116" s="586"/>
    </row>
    <row r="117" spans="2:25" ht="14.25" customHeight="1" x14ac:dyDescent="0.25">
      <c r="B117" s="586" t="s">
        <v>731</v>
      </c>
      <c r="C117" s="586"/>
      <c r="E117" s="551">
        <v>108434</v>
      </c>
      <c r="G117" s="551">
        <v>7300</v>
      </c>
      <c r="I117" s="551">
        <v>7300</v>
      </c>
      <c r="Q117" s="587">
        <v>101134</v>
      </c>
      <c r="R117" s="587"/>
      <c r="T117" s="587">
        <v>101134</v>
      </c>
      <c r="U117" s="587"/>
      <c r="W117" s="587">
        <v>101134</v>
      </c>
      <c r="X117" s="587"/>
    </row>
    <row r="118" spans="2:25" ht="14.25" customHeight="1" x14ac:dyDescent="0.25">
      <c r="B118" s="586"/>
      <c r="C118" s="586"/>
    </row>
    <row r="119" spans="2:25" ht="14.25" customHeight="1" x14ac:dyDescent="0.25">
      <c r="B119" s="586" t="s">
        <v>730</v>
      </c>
      <c r="C119" s="586"/>
      <c r="E119" s="551">
        <v>13000</v>
      </c>
      <c r="G119" s="551">
        <v>9200</v>
      </c>
      <c r="I119" s="551">
        <v>9200</v>
      </c>
      <c r="Q119" s="587">
        <v>3800</v>
      </c>
      <c r="R119" s="587"/>
      <c r="T119" s="587">
        <v>3800</v>
      </c>
      <c r="U119" s="587"/>
      <c r="W119" s="587">
        <v>3800</v>
      </c>
      <c r="X119" s="587"/>
    </row>
    <row r="120" spans="2:25" ht="14.25" customHeight="1" x14ac:dyDescent="0.25">
      <c r="B120" s="586"/>
      <c r="C120" s="586"/>
    </row>
    <row r="121" spans="2:25" ht="14.25" customHeight="1" x14ac:dyDescent="0.25">
      <c r="B121" s="586" t="s">
        <v>729</v>
      </c>
      <c r="C121" s="586"/>
      <c r="E121" s="551">
        <v>200000</v>
      </c>
      <c r="Q121" s="587">
        <v>200000</v>
      </c>
      <c r="R121" s="587"/>
      <c r="T121" s="587">
        <v>200000</v>
      </c>
      <c r="U121" s="587"/>
      <c r="W121" s="587">
        <v>200000</v>
      </c>
      <c r="X121" s="587"/>
      <c r="Y121" s="552">
        <f>SUM(W98:X121)</f>
        <v>3127753</v>
      </c>
    </row>
    <row r="122" spans="2:25" ht="14.25" customHeight="1" x14ac:dyDescent="0.25">
      <c r="B122" s="586"/>
      <c r="C122" s="586"/>
      <c r="Y122" s="552">
        <f>Y121-SUM(Y100:Y111)</f>
        <v>1227753</v>
      </c>
    </row>
    <row r="123" spans="2:25" ht="14.25" customHeight="1" x14ac:dyDescent="0.25">
      <c r="B123" s="586" t="s">
        <v>728</v>
      </c>
      <c r="C123" s="586"/>
      <c r="E123" s="551">
        <v>583541</v>
      </c>
      <c r="G123" s="551">
        <v>583541</v>
      </c>
      <c r="I123" s="551">
        <v>583541</v>
      </c>
    </row>
    <row r="124" spans="2:25" ht="14.25" customHeight="1" x14ac:dyDescent="0.25">
      <c r="B124" s="586"/>
      <c r="C124" s="586"/>
    </row>
    <row r="125" spans="2:25" ht="14.25" customHeight="1" x14ac:dyDescent="0.25">
      <c r="B125" s="586" t="s">
        <v>727</v>
      </c>
      <c r="C125" s="586"/>
      <c r="E125" s="551">
        <v>222546</v>
      </c>
      <c r="G125" s="551">
        <v>116669</v>
      </c>
      <c r="I125" s="551">
        <v>117624</v>
      </c>
      <c r="Q125" s="587">
        <v>104922</v>
      </c>
      <c r="R125" s="587"/>
      <c r="T125" s="587">
        <v>104922</v>
      </c>
      <c r="U125" s="587"/>
      <c r="W125" s="587">
        <v>104922</v>
      </c>
      <c r="X125" s="587"/>
    </row>
    <row r="126" spans="2:25" ht="14.25" customHeight="1" x14ac:dyDescent="0.25">
      <c r="B126" s="586"/>
      <c r="C126" s="586"/>
    </row>
    <row r="127" spans="2:25" ht="14.25" customHeight="1" x14ac:dyDescent="0.25">
      <c r="B127" s="586"/>
      <c r="C127" s="586"/>
    </row>
    <row r="128" spans="2:25" ht="14.25" customHeight="1" x14ac:dyDescent="0.25">
      <c r="B128" s="586" t="s">
        <v>726</v>
      </c>
      <c r="C128" s="586"/>
      <c r="E128" s="551">
        <v>12123</v>
      </c>
      <c r="G128" s="551">
        <v>12123</v>
      </c>
      <c r="I128" s="551">
        <v>12123</v>
      </c>
    </row>
    <row r="129" spans="2:24" ht="14.25" customHeight="1" x14ac:dyDescent="0.25">
      <c r="B129" s="586"/>
      <c r="C129" s="586"/>
    </row>
    <row r="130" spans="2:24" ht="14.25" customHeight="1" x14ac:dyDescent="0.25">
      <c r="B130" s="586"/>
      <c r="C130" s="586"/>
    </row>
    <row r="131" spans="2:24" ht="14.25" customHeight="1" x14ac:dyDescent="0.25">
      <c r="B131" s="586" t="s">
        <v>725</v>
      </c>
      <c r="C131" s="586"/>
      <c r="E131" s="551">
        <v>300071</v>
      </c>
      <c r="G131" s="551">
        <v>129394</v>
      </c>
      <c r="I131" s="551">
        <v>129394</v>
      </c>
      <c r="Q131" s="587">
        <v>170677</v>
      </c>
      <c r="R131" s="587"/>
      <c r="T131" s="587">
        <v>170677</v>
      </c>
      <c r="U131" s="587"/>
      <c r="W131" s="587">
        <v>170677</v>
      </c>
      <c r="X131" s="587"/>
    </row>
    <row r="132" spans="2:24" ht="14.25" customHeight="1" x14ac:dyDescent="0.25">
      <c r="B132" s="586"/>
      <c r="C132" s="586"/>
    </row>
    <row r="133" spans="2:24" ht="14.25" customHeight="1" x14ac:dyDescent="0.25">
      <c r="B133" s="586"/>
      <c r="C133" s="586"/>
    </row>
    <row r="134" spans="2:24" ht="14.25" customHeight="1" x14ac:dyDescent="0.25">
      <c r="B134" s="586" t="s">
        <v>724</v>
      </c>
      <c r="C134" s="586"/>
      <c r="E134" s="551">
        <v>400000</v>
      </c>
      <c r="I134" s="551">
        <v>400000</v>
      </c>
    </row>
    <row r="135" spans="2:24" ht="14.25" customHeight="1" x14ac:dyDescent="0.25">
      <c r="B135" s="586"/>
      <c r="C135" s="586"/>
    </row>
    <row r="136" spans="2:24" ht="14.25" customHeight="1" x14ac:dyDescent="0.25">
      <c r="B136" s="586"/>
      <c r="C136" s="586"/>
    </row>
    <row r="137" spans="2:24" ht="14.25" customHeight="1" x14ac:dyDescent="0.25">
      <c r="B137" s="586" t="s">
        <v>723</v>
      </c>
      <c r="C137" s="586"/>
      <c r="E137" s="551">
        <v>20000</v>
      </c>
      <c r="G137" s="551">
        <v>20000</v>
      </c>
      <c r="I137" s="551">
        <v>20000</v>
      </c>
    </row>
    <row r="138" spans="2:24" ht="14.25" customHeight="1" x14ac:dyDescent="0.25">
      <c r="B138" s="586"/>
      <c r="C138" s="586"/>
    </row>
    <row r="139" spans="2:24" ht="14.25" customHeight="1" x14ac:dyDescent="0.25">
      <c r="B139" s="586"/>
      <c r="C139" s="586"/>
    </row>
    <row r="140" spans="2:24" ht="14.25" customHeight="1" x14ac:dyDescent="0.25">
      <c r="B140" s="586" t="s">
        <v>722</v>
      </c>
      <c r="C140" s="586"/>
      <c r="E140" s="551">
        <v>314057</v>
      </c>
      <c r="G140" s="551">
        <v>60000</v>
      </c>
      <c r="I140" s="551">
        <v>60000</v>
      </c>
      <c r="Q140" s="587">
        <v>254057</v>
      </c>
      <c r="R140" s="587"/>
      <c r="T140" s="587">
        <v>254057</v>
      </c>
      <c r="U140" s="587"/>
      <c r="W140" s="587">
        <v>254057</v>
      </c>
      <c r="X140" s="587"/>
    </row>
    <row r="141" spans="2:24" ht="14.25" customHeight="1" x14ac:dyDescent="0.25">
      <c r="B141" s="586"/>
      <c r="C141" s="586"/>
    </row>
    <row r="142" spans="2:24" ht="14.25" customHeight="1" x14ac:dyDescent="0.25">
      <c r="B142" s="586"/>
      <c r="C142" s="586"/>
    </row>
    <row r="143" spans="2:24" ht="14.25" customHeight="1" x14ac:dyDescent="0.25">
      <c r="B143" s="586" t="s">
        <v>721</v>
      </c>
      <c r="C143" s="586"/>
      <c r="E143" s="551">
        <v>10000</v>
      </c>
      <c r="Q143" s="587">
        <v>10000</v>
      </c>
      <c r="R143" s="587"/>
      <c r="T143" s="587">
        <v>10000</v>
      </c>
      <c r="U143" s="587"/>
      <c r="W143" s="587">
        <v>10000</v>
      </c>
      <c r="X143" s="587"/>
    </row>
    <row r="144" spans="2:24" ht="14.25" customHeight="1" x14ac:dyDescent="0.25">
      <c r="B144" s="586"/>
      <c r="C144" s="586"/>
    </row>
    <row r="145" spans="2:24" ht="14.25" customHeight="1" x14ac:dyDescent="0.25">
      <c r="B145" s="586"/>
      <c r="C145" s="586"/>
    </row>
    <row r="146" spans="2:24" ht="14.25" customHeight="1" x14ac:dyDescent="0.25">
      <c r="B146" s="586" t="s">
        <v>720</v>
      </c>
      <c r="C146" s="586"/>
      <c r="E146" s="551">
        <v>20000</v>
      </c>
      <c r="Q146" s="587">
        <v>20000</v>
      </c>
      <c r="R146" s="587"/>
      <c r="T146" s="587">
        <v>20000</v>
      </c>
      <c r="U146" s="587"/>
      <c r="W146" s="587">
        <v>20000</v>
      </c>
      <c r="X146" s="587"/>
    </row>
    <row r="147" spans="2:24" ht="14.25" customHeight="1" x14ac:dyDescent="0.25">
      <c r="B147" s="586"/>
      <c r="C147" s="586"/>
    </row>
    <row r="148" spans="2:24" ht="14.25" customHeight="1" x14ac:dyDescent="0.25">
      <c r="B148" s="586" t="s">
        <v>719</v>
      </c>
      <c r="C148" s="586"/>
      <c r="E148" s="551">
        <v>40000</v>
      </c>
      <c r="G148" s="551">
        <v>20000</v>
      </c>
      <c r="I148" s="551">
        <v>20000</v>
      </c>
      <c r="Q148" s="587">
        <v>20000</v>
      </c>
      <c r="R148" s="587"/>
      <c r="T148" s="587">
        <v>20000</v>
      </c>
      <c r="U148" s="587"/>
      <c r="W148" s="587">
        <v>20000</v>
      </c>
      <c r="X148" s="587"/>
    </row>
    <row r="149" spans="2:24" ht="14.25" customHeight="1" x14ac:dyDescent="0.25">
      <c r="B149" s="586"/>
      <c r="C149" s="586"/>
    </row>
    <row r="150" spans="2:24" ht="14.25" customHeight="1" x14ac:dyDescent="0.25">
      <c r="B150" s="586" t="s">
        <v>718</v>
      </c>
      <c r="C150" s="586"/>
      <c r="E150" s="551">
        <v>100000</v>
      </c>
      <c r="G150" s="551">
        <v>100000</v>
      </c>
      <c r="I150" s="551">
        <v>100000</v>
      </c>
    </row>
    <row r="151" spans="2:24" ht="14.25" customHeight="1" x14ac:dyDescent="0.25">
      <c r="B151" s="586"/>
      <c r="C151" s="586"/>
    </row>
    <row r="152" spans="2:24" ht="14.25" customHeight="1" x14ac:dyDescent="0.25">
      <c r="B152" s="586" t="s">
        <v>717</v>
      </c>
      <c r="C152" s="586"/>
      <c r="E152" s="551">
        <v>20000</v>
      </c>
      <c r="Q152" s="587">
        <v>20000</v>
      </c>
      <c r="R152" s="587"/>
      <c r="T152" s="587">
        <v>20000</v>
      </c>
      <c r="U152" s="587"/>
      <c r="W152" s="587">
        <v>20000</v>
      </c>
      <c r="X152" s="587"/>
    </row>
    <row r="153" spans="2:24" ht="14.25" customHeight="1" x14ac:dyDescent="0.25">
      <c r="B153" s="586"/>
      <c r="C153" s="586"/>
    </row>
    <row r="154" spans="2:24" ht="14.25" customHeight="1" x14ac:dyDescent="0.25">
      <c r="B154" s="586"/>
      <c r="C154" s="586"/>
    </row>
    <row r="155" spans="2:24" ht="14.25" customHeight="1" x14ac:dyDescent="0.25">
      <c r="B155" s="586" t="s">
        <v>716</v>
      </c>
      <c r="C155" s="586"/>
      <c r="E155" s="551">
        <v>20000</v>
      </c>
      <c r="G155" s="551">
        <v>20000</v>
      </c>
      <c r="I155" s="551">
        <v>20000</v>
      </c>
    </row>
    <row r="156" spans="2:24" ht="14.25" customHeight="1" x14ac:dyDescent="0.25">
      <c r="B156" s="586"/>
      <c r="C156" s="586"/>
    </row>
    <row r="157" spans="2:24" ht="14.25" customHeight="1" x14ac:dyDescent="0.25">
      <c r="B157" s="586"/>
      <c r="C157" s="586"/>
    </row>
    <row r="158" spans="2:24" ht="14.25" customHeight="1" x14ac:dyDescent="0.25">
      <c r="B158" s="586" t="s">
        <v>715</v>
      </c>
      <c r="C158" s="586"/>
      <c r="E158" s="551">
        <v>10000</v>
      </c>
      <c r="G158" s="551">
        <v>10000</v>
      </c>
      <c r="I158" s="551">
        <v>10000</v>
      </c>
    </row>
    <row r="159" spans="2:24" ht="14.25" customHeight="1" x14ac:dyDescent="0.25">
      <c r="B159" s="586"/>
      <c r="C159" s="586"/>
    </row>
    <row r="160" spans="2:24" ht="14.25" customHeight="1" x14ac:dyDescent="0.25">
      <c r="B160" s="586"/>
      <c r="C160" s="586"/>
    </row>
    <row r="161" spans="2:24" ht="14.25" customHeight="1" x14ac:dyDescent="0.25">
      <c r="B161" s="586" t="s">
        <v>714</v>
      </c>
      <c r="C161" s="586"/>
      <c r="E161" s="551">
        <v>2982053</v>
      </c>
      <c r="Q161" s="587">
        <v>2982053</v>
      </c>
      <c r="R161" s="587"/>
      <c r="T161" s="587">
        <v>2982053</v>
      </c>
      <c r="U161" s="587"/>
      <c r="W161" s="587">
        <v>2982053</v>
      </c>
      <c r="X161" s="587"/>
    </row>
    <row r="162" spans="2:24" ht="14.25" customHeight="1" x14ac:dyDescent="0.25">
      <c r="B162" s="586"/>
      <c r="C162" s="586"/>
    </row>
    <row r="163" spans="2:24" ht="14.25" customHeight="1" x14ac:dyDescent="0.25">
      <c r="B163" s="586"/>
      <c r="C163" s="586"/>
    </row>
    <row r="164" spans="2:24" ht="14.25" customHeight="1" x14ac:dyDescent="0.25">
      <c r="B164" s="586" t="s">
        <v>713</v>
      </c>
      <c r="C164" s="586"/>
      <c r="E164" s="551">
        <v>130000</v>
      </c>
      <c r="Q164" s="587">
        <v>130000</v>
      </c>
      <c r="R164" s="587"/>
      <c r="T164" s="587">
        <v>130000</v>
      </c>
      <c r="U164" s="587"/>
      <c r="W164" s="587">
        <v>130000</v>
      </c>
      <c r="X164" s="587"/>
    </row>
    <row r="165" spans="2:24" ht="14.25" customHeight="1" x14ac:dyDescent="0.25">
      <c r="B165" s="586"/>
      <c r="C165" s="586"/>
    </row>
    <row r="166" spans="2:24" ht="14.25" customHeight="1" x14ac:dyDescent="0.25">
      <c r="B166" s="586"/>
      <c r="C166" s="586"/>
    </row>
    <row r="167" spans="2:24" ht="14.25" customHeight="1" x14ac:dyDescent="0.25">
      <c r="B167" s="586" t="s">
        <v>712</v>
      </c>
      <c r="C167" s="586"/>
      <c r="E167" s="551">
        <v>1800000</v>
      </c>
      <c r="Q167" s="587">
        <v>1800000</v>
      </c>
      <c r="R167" s="587"/>
      <c r="T167" s="587">
        <v>1800000</v>
      </c>
      <c r="U167" s="587"/>
      <c r="W167" s="587">
        <v>1800000</v>
      </c>
      <c r="X167" s="587"/>
    </row>
    <row r="168" spans="2:24" ht="14.25" customHeight="1" x14ac:dyDescent="0.25">
      <c r="B168" s="586"/>
      <c r="C168" s="586"/>
    </row>
    <row r="169" spans="2:24" ht="14.25" customHeight="1" x14ac:dyDescent="0.25">
      <c r="B169" s="586"/>
      <c r="C169" s="586"/>
    </row>
    <row r="170" spans="2:24" ht="14.25" customHeight="1" x14ac:dyDescent="0.25">
      <c r="B170" s="586" t="s">
        <v>711</v>
      </c>
      <c r="C170" s="586"/>
      <c r="E170" s="551">
        <v>136850</v>
      </c>
      <c r="Q170" s="587">
        <v>136850</v>
      </c>
      <c r="R170" s="587"/>
      <c r="T170" s="587">
        <v>136850</v>
      </c>
      <c r="U170" s="587"/>
      <c r="W170" s="587">
        <v>136850</v>
      </c>
      <c r="X170" s="587"/>
    </row>
    <row r="171" spans="2:24" ht="14.25" customHeight="1" x14ac:dyDescent="0.25">
      <c r="B171" s="586"/>
      <c r="C171" s="586"/>
    </row>
    <row r="172" spans="2:24" ht="14.25" customHeight="1" x14ac:dyDescent="0.25">
      <c r="B172" s="586"/>
      <c r="C172" s="586"/>
    </row>
    <row r="173" spans="2:24" ht="14.25" customHeight="1" x14ac:dyDescent="0.25">
      <c r="B173" s="586" t="s">
        <v>710</v>
      </c>
      <c r="C173" s="586"/>
      <c r="E173" s="551">
        <v>65400</v>
      </c>
      <c r="G173" s="551">
        <v>65400</v>
      </c>
      <c r="I173" s="551">
        <v>65400</v>
      </c>
    </row>
    <row r="174" spans="2:24" ht="14.25" customHeight="1" x14ac:dyDescent="0.25">
      <c r="B174" s="586"/>
      <c r="C174" s="586"/>
    </row>
    <row r="175" spans="2:24" ht="14.25" customHeight="1" x14ac:dyDescent="0.25">
      <c r="B175" s="586"/>
      <c r="C175" s="586"/>
    </row>
    <row r="176" spans="2:24" ht="14.25" customHeight="1" x14ac:dyDescent="0.25">
      <c r="B176" s="586" t="s">
        <v>709</v>
      </c>
      <c r="C176" s="586"/>
      <c r="E176" s="551">
        <v>33602</v>
      </c>
      <c r="G176" s="551">
        <v>33602</v>
      </c>
      <c r="I176" s="551">
        <v>33602</v>
      </c>
    </row>
    <row r="177" spans="2:24" ht="14.25" customHeight="1" x14ac:dyDescent="0.25">
      <c r="B177" s="586"/>
      <c r="C177" s="586"/>
    </row>
    <row r="178" spans="2:24" ht="14.25" customHeight="1" x14ac:dyDescent="0.25">
      <c r="B178" s="586"/>
      <c r="C178" s="586"/>
    </row>
    <row r="179" spans="2:24" ht="14.25" customHeight="1" x14ac:dyDescent="0.25">
      <c r="B179" s="586" t="s">
        <v>708</v>
      </c>
      <c r="C179" s="586"/>
      <c r="E179" s="551">
        <v>73638</v>
      </c>
      <c r="Q179" s="587">
        <v>73638</v>
      </c>
      <c r="R179" s="587"/>
      <c r="T179" s="587">
        <v>73638</v>
      </c>
      <c r="U179" s="587"/>
      <c r="W179" s="587">
        <v>73638</v>
      </c>
      <c r="X179" s="587"/>
    </row>
    <row r="180" spans="2:24" ht="14.25" customHeight="1" x14ac:dyDescent="0.25">
      <c r="B180" s="586"/>
      <c r="C180" s="586"/>
    </row>
    <row r="181" spans="2:24" ht="14.25" customHeight="1" x14ac:dyDescent="0.25">
      <c r="B181" s="586"/>
      <c r="C181" s="586"/>
    </row>
    <row r="182" spans="2:24" ht="14.25" customHeight="1" x14ac:dyDescent="0.25">
      <c r="B182" s="586" t="s">
        <v>707</v>
      </c>
      <c r="C182" s="586"/>
      <c r="E182" s="551">
        <v>4360</v>
      </c>
      <c r="G182" s="551">
        <v>4360</v>
      </c>
      <c r="I182" s="551">
        <v>4360</v>
      </c>
    </row>
    <row r="183" spans="2:24" ht="14.25" customHeight="1" x14ac:dyDescent="0.25">
      <c r="B183" s="586"/>
      <c r="C183" s="586"/>
    </row>
    <row r="184" spans="2:24" ht="14.25" customHeight="1" x14ac:dyDescent="0.25">
      <c r="B184" s="586"/>
      <c r="C184" s="586"/>
    </row>
    <row r="185" spans="2:24" ht="14.25" customHeight="1" x14ac:dyDescent="0.25">
      <c r="B185" s="586" t="s">
        <v>706</v>
      </c>
      <c r="C185" s="586"/>
      <c r="E185" s="551">
        <v>27000</v>
      </c>
      <c r="Q185" s="587">
        <v>27000</v>
      </c>
      <c r="R185" s="587"/>
      <c r="T185" s="587">
        <v>27000</v>
      </c>
      <c r="U185" s="587"/>
      <c r="W185" s="587">
        <v>27000</v>
      </c>
      <c r="X185" s="587"/>
    </row>
    <row r="186" spans="2:24" ht="14.25" customHeight="1" x14ac:dyDescent="0.25">
      <c r="B186" s="586"/>
      <c r="C186" s="586"/>
    </row>
    <row r="187" spans="2:24" ht="14.25" customHeight="1" x14ac:dyDescent="0.25">
      <c r="B187" s="586"/>
      <c r="C187" s="586"/>
    </row>
    <row r="188" spans="2:24" ht="14.25" customHeight="1" x14ac:dyDescent="0.25">
      <c r="B188" s="586" t="s">
        <v>705</v>
      </c>
      <c r="C188" s="586"/>
      <c r="E188" s="551">
        <v>1242</v>
      </c>
      <c r="Q188" s="587">
        <v>1242</v>
      </c>
      <c r="R188" s="587"/>
      <c r="T188" s="587">
        <v>1242</v>
      </c>
      <c r="U188" s="587"/>
      <c r="W188" s="587">
        <v>1242</v>
      </c>
      <c r="X188" s="587"/>
    </row>
    <row r="189" spans="2:24" ht="14.25" customHeight="1" x14ac:dyDescent="0.25">
      <c r="B189" s="586"/>
      <c r="C189" s="586"/>
    </row>
    <row r="190" spans="2:24" ht="14.25" customHeight="1" x14ac:dyDescent="0.25">
      <c r="B190" s="586"/>
      <c r="C190" s="586"/>
    </row>
    <row r="191" spans="2:24" ht="14.25" customHeight="1" x14ac:dyDescent="0.25">
      <c r="B191" s="586" t="s">
        <v>704</v>
      </c>
      <c r="C191" s="586"/>
      <c r="E191" s="551">
        <v>15840</v>
      </c>
      <c r="Q191" s="587">
        <v>15840</v>
      </c>
      <c r="R191" s="587"/>
      <c r="T191" s="587">
        <v>15840</v>
      </c>
      <c r="U191" s="587"/>
      <c r="W191" s="587">
        <v>15840</v>
      </c>
      <c r="X191" s="587"/>
    </row>
    <row r="192" spans="2:24" ht="14.25" customHeight="1" x14ac:dyDescent="0.25">
      <c r="B192" s="586"/>
      <c r="C192" s="586"/>
    </row>
    <row r="193" spans="2:24" ht="14.25" customHeight="1" x14ac:dyDescent="0.25">
      <c r="B193" s="586"/>
      <c r="C193" s="586"/>
    </row>
    <row r="194" spans="2:24" ht="14.25" customHeight="1" x14ac:dyDescent="0.25">
      <c r="B194" s="586" t="s">
        <v>703</v>
      </c>
      <c r="C194" s="586"/>
      <c r="E194" s="551">
        <v>77052</v>
      </c>
      <c r="Q194" s="587">
        <v>77052</v>
      </c>
      <c r="R194" s="587"/>
      <c r="T194" s="587">
        <v>77052</v>
      </c>
      <c r="U194" s="587"/>
      <c r="W194" s="587">
        <v>77052</v>
      </c>
      <c r="X194" s="587"/>
    </row>
    <row r="195" spans="2:24" ht="14.25" customHeight="1" x14ac:dyDescent="0.25">
      <c r="B195" s="586"/>
      <c r="C195" s="586"/>
    </row>
    <row r="196" spans="2:24" ht="14.25" customHeight="1" x14ac:dyDescent="0.25">
      <c r="B196" s="586"/>
      <c r="C196" s="586"/>
    </row>
    <row r="197" spans="2:24" ht="14.25" customHeight="1" x14ac:dyDescent="0.25">
      <c r="B197" s="586" t="s">
        <v>702</v>
      </c>
      <c r="C197" s="586"/>
      <c r="E197" s="551">
        <v>7940</v>
      </c>
      <c r="Q197" s="587">
        <v>7940</v>
      </c>
      <c r="R197" s="587"/>
      <c r="T197" s="587">
        <v>7940</v>
      </c>
      <c r="U197" s="587"/>
      <c r="W197" s="587">
        <v>7940</v>
      </c>
      <c r="X197" s="587"/>
    </row>
    <row r="198" spans="2:24" ht="14.25" customHeight="1" x14ac:dyDescent="0.25">
      <c r="B198" s="586"/>
      <c r="C198" s="586"/>
    </row>
    <row r="199" spans="2:24" ht="14.25" customHeight="1" x14ac:dyDescent="0.25">
      <c r="B199" s="586"/>
      <c r="C199" s="586"/>
    </row>
    <row r="200" spans="2:24" ht="12" customHeight="1" x14ac:dyDescent="0.25">
      <c r="B200" s="550" t="s">
        <v>701</v>
      </c>
      <c r="E200" s="549">
        <v>99807835</v>
      </c>
      <c r="G200" s="549">
        <v>27384338</v>
      </c>
      <c r="I200" s="549">
        <v>28374005</v>
      </c>
      <c r="Q200" s="588">
        <v>71433830</v>
      </c>
      <c r="R200" s="588"/>
      <c r="T200" s="588">
        <v>71433830</v>
      </c>
      <c r="U200" s="588"/>
      <c r="W200" s="588">
        <v>71433830</v>
      </c>
      <c r="X200" s="588"/>
    </row>
    <row r="201" spans="2:24" ht="43.5" customHeight="1" x14ac:dyDescent="0.25"/>
  </sheetData>
  <mergeCells count="234">
    <mergeCell ref="B197:C199"/>
    <mergeCell ref="Q197:R197"/>
    <mergeCell ref="T197:U197"/>
    <mergeCell ref="W197:X197"/>
    <mergeCell ref="Q200:R200"/>
    <mergeCell ref="T200:U200"/>
    <mergeCell ref="W200:X200"/>
    <mergeCell ref="B188:C190"/>
    <mergeCell ref="Q188:R188"/>
    <mergeCell ref="T188:U188"/>
    <mergeCell ref="W188:X188"/>
    <mergeCell ref="B191:C193"/>
    <mergeCell ref="Q191:R191"/>
    <mergeCell ref="T191:U191"/>
    <mergeCell ref="W191:X191"/>
    <mergeCell ref="B194:C196"/>
    <mergeCell ref="Q194:R194"/>
    <mergeCell ref="T194:U194"/>
    <mergeCell ref="W194:X194"/>
    <mergeCell ref="B173:C175"/>
    <mergeCell ref="B176:C178"/>
    <mergeCell ref="B179:C181"/>
    <mergeCell ref="Q179:R179"/>
    <mergeCell ref="T179:U179"/>
    <mergeCell ref="W179:X179"/>
    <mergeCell ref="B182:C184"/>
    <mergeCell ref="B185:C187"/>
    <mergeCell ref="Q185:R185"/>
    <mergeCell ref="T185:U185"/>
    <mergeCell ref="W185:X185"/>
    <mergeCell ref="B164:C166"/>
    <mergeCell ref="Q164:R164"/>
    <mergeCell ref="T164:U164"/>
    <mergeCell ref="W164:X164"/>
    <mergeCell ref="B167:C169"/>
    <mergeCell ref="Q167:R167"/>
    <mergeCell ref="T167:U167"/>
    <mergeCell ref="W167:X167"/>
    <mergeCell ref="B170:C172"/>
    <mergeCell ref="Q170:R170"/>
    <mergeCell ref="T170:U170"/>
    <mergeCell ref="W170:X170"/>
    <mergeCell ref="B152:C154"/>
    <mergeCell ref="Q152:R152"/>
    <mergeCell ref="T152:U152"/>
    <mergeCell ref="W152:X152"/>
    <mergeCell ref="B155:C157"/>
    <mergeCell ref="B158:C160"/>
    <mergeCell ref="B161:C163"/>
    <mergeCell ref="Q161:R161"/>
    <mergeCell ref="T161:U161"/>
    <mergeCell ref="W161:X161"/>
    <mergeCell ref="B146:C147"/>
    <mergeCell ref="Q146:R146"/>
    <mergeCell ref="T146:U146"/>
    <mergeCell ref="W146:X146"/>
    <mergeCell ref="B148:C149"/>
    <mergeCell ref="Q148:R148"/>
    <mergeCell ref="T148:U148"/>
    <mergeCell ref="W148:X148"/>
    <mergeCell ref="B150:C151"/>
    <mergeCell ref="B134:C136"/>
    <mergeCell ref="B137:C139"/>
    <mergeCell ref="B140:C142"/>
    <mergeCell ref="Q140:R140"/>
    <mergeCell ref="T140:U140"/>
    <mergeCell ref="W140:X140"/>
    <mergeCell ref="B143:C145"/>
    <mergeCell ref="Q143:R143"/>
    <mergeCell ref="T143:U143"/>
    <mergeCell ref="W143:X143"/>
    <mergeCell ref="B123:C124"/>
    <mergeCell ref="B125:C127"/>
    <mergeCell ref="Q125:R125"/>
    <mergeCell ref="T125:U125"/>
    <mergeCell ref="W125:X125"/>
    <mergeCell ref="B128:C130"/>
    <mergeCell ref="B131:C133"/>
    <mergeCell ref="Q131:R131"/>
    <mergeCell ref="T131:U131"/>
    <mergeCell ref="W131:X131"/>
    <mergeCell ref="B117:C118"/>
    <mergeCell ref="Q117:R117"/>
    <mergeCell ref="T117:U117"/>
    <mergeCell ref="W117:X117"/>
    <mergeCell ref="B119:C120"/>
    <mergeCell ref="Q119:R119"/>
    <mergeCell ref="T119:U119"/>
    <mergeCell ref="W119:X119"/>
    <mergeCell ref="B121:C122"/>
    <mergeCell ref="Q121:R121"/>
    <mergeCell ref="T121:U121"/>
    <mergeCell ref="W121:X121"/>
    <mergeCell ref="B109:C110"/>
    <mergeCell ref="Q109:R109"/>
    <mergeCell ref="T109:U109"/>
    <mergeCell ref="W109:X109"/>
    <mergeCell ref="B111:C113"/>
    <mergeCell ref="Q111:R111"/>
    <mergeCell ref="T111:U111"/>
    <mergeCell ref="W111:X111"/>
    <mergeCell ref="B114:C116"/>
    <mergeCell ref="Q114:R114"/>
    <mergeCell ref="T114:U114"/>
    <mergeCell ref="W114:X114"/>
    <mergeCell ref="B102:C103"/>
    <mergeCell ref="B104:C105"/>
    <mergeCell ref="Q104:R104"/>
    <mergeCell ref="T104:U104"/>
    <mergeCell ref="W104:X104"/>
    <mergeCell ref="B106:C108"/>
    <mergeCell ref="Q106:R106"/>
    <mergeCell ref="T106:U106"/>
    <mergeCell ref="W106:X106"/>
    <mergeCell ref="B96:C97"/>
    <mergeCell ref="B98:C99"/>
    <mergeCell ref="Q98:R98"/>
    <mergeCell ref="T98:U98"/>
    <mergeCell ref="W98:X98"/>
    <mergeCell ref="B100:C101"/>
    <mergeCell ref="Q100:R100"/>
    <mergeCell ref="T100:U100"/>
    <mergeCell ref="W100:X100"/>
    <mergeCell ref="W89:X89"/>
    <mergeCell ref="B91:C93"/>
    <mergeCell ref="Q91:R91"/>
    <mergeCell ref="T91:U91"/>
    <mergeCell ref="W91:X91"/>
    <mergeCell ref="B94:C95"/>
    <mergeCell ref="Q94:R94"/>
    <mergeCell ref="T94:U94"/>
    <mergeCell ref="W94:X94"/>
    <mergeCell ref="B75:C76"/>
    <mergeCell ref="B77:C79"/>
    <mergeCell ref="B80:C81"/>
    <mergeCell ref="B82:C83"/>
    <mergeCell ref="B84:C85"/>
    <mergeCell ref="B86:C88"/>
    <mergeCell ref="B89:C90"/>
    <mergeCell ref="Q89:R89"/>
    <mergeCell ref="T89:U89"/>
    <mergeCell ref="B69:C70"/>
    <mergeCell ref="Q69:R69"/>
    <mergeCell ref="T69:U69"/>
    <mergeCell ref="W69:X69"/>
    <mergeCell ref="B71:C72"/>
    <mergeCell ref="Q71:R71"/>
    <mergeCell ref="T71:U71"/>
    <mergeCell ref="W71:X71"/>
    <mergeCell ref="B73:C74"/>
    <mergeCell ref="B63:C64"/>
    <mergeCell ref="Q63:R63"/>
    <mergeCell ref="T63:U63"/>
    <mergeCell ref="W63:X63"/>
    <mergeCell ref="B65:C66"/>
    <mergeCell ref="Q65:R65"/>
    <mergeCell ref="T65:U65"/>
    <mergeCell ref="W65:X65"/>
    <mergeCell ref="B67:C68"/>
    <mergeCell ref="Q67:R67"/>
    <mergeCell ref="T67:U67"/>
    <mergeCell ref="W67:X67"/>
    <mergeCell ref="B57:C58"/>
    <mergeCell ref="Q57:R57"/>
    <mergeCell ref="T57:U57"/>
    <mergeCell ref="W57:X57"/>
    <mergeCell ref="B59:C60"/>
    <mergeCell ref="Q59:R59"/>
    <mergeCell ref="T59:U59"/>
    <mergeCell ref="W59:X59"/>
    <mergeCell ref="B61:C62"/>
    <mergeCell ref="B51:C52"/>
    <mergeCell ref="Q51:R51"/>
    <mergeCell ref="T51:U51"/>
    <mergeCell ref="W51:X51"/>
    <mergeCell ref="B53:C54"/>
    <mergeCell ref="Q53:R53"/>
    <mergeCell ref="T53:U53"/>
    <mergeCell ref="W53:X53"/>
    <mergeCell ref="B55:C56"/>
    <mergeCell ref="Q55:R55"/>
    <mergeCell ref="T55:U55"/>
    <mergeCell ref="W55:X55"/>
    <mergeCell ref="B39:C40"/>
    <mergeCell ref="B41:C42"/>
    <mergeCell ref="B43:C44"/>
    <mergeCell ref="B45:C46"/>
    <mergeCell ref="B47:C48"/>
    <mergeCell ref="B49:C50"/>
    <mergeCell ref="Q49:R49"/>
    <mergeCell ref="T49:U49"/>
    <mergeCell ref="W49:X49"/>
    <mergeCell ref="B31:C32"/>
    <mergeCell ref="B33:C34"/>
    <mergeCell ref="B35:C36"/>
    <mergeCell ref="Q35:R35"/>
    <mergeCell ref="T35:U35"/>
    <mergeCell ref="W35:X35"/>
    <mergeCell ref="B37:C38"/>
    <mergeCell ref="Q37:R37"/>
    <mergeCell ref="T37:U37"/>
    <mergeCell ref="W37:X37"/>
    <mergeCell ref="B23:C24"/>
    <mergeCell ref="Q23:R23"/>
    <mergeCell ref="T23:U23"/>
    <mergeCell ref="W23:X23"/>
    <mergeCell ref="B25:C26"/>
    <mergeCell ref="B27:C28"/>
    <mergeCell ref="B29:C30"/>
    <mergeCell ref="Q29:R29"/>
    <mergeCell ref="T29:U29"/>
    <mergeCell ref="W29:X29"/>
    <mergeCell ref="B11:C12"/>
    <mergeCell ref="B13:C14"/>
    <mergeCell ref="B15:C16"/>
    <mergeCell ref="B17:C18"/>
    <mergeCell ref="B19:C20"/>
    <mergeCell ref="B21:C22"/>
    <mergeCell ref="Q21:R21"/>
    <mergeCell ref="T21:U21"/>
    <mergeCell ref="W21:X21"/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  <mergeCell ref="Q7:R9"/>
    <mergeCell ref="T7:T9"/>
    <mergeCell ref="W7:X9"/>
  </mergeCells>
  <phoneticPr fontId="9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6"/>
  <sheetViews>
    <sheetView view="pageBreakPreview" zoomScale="75" zoomScaleSheetLayoutView="100" workbookViewId="0">
      <selection activeCell="J10" sqref="J10"/>
    </sheetView>
  </sheetViews>
  <sheetFormatPr defaultColWidth="9.109375" defaultRowHeight="13.8" x14ac:dyDescent="0.25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2" width="6.88671875" style="59" bestFit="1" customWidth="1"/>
    <col min="13" max="13" width="11.88671875" style="59" customWidth="1"/>
    <col min="14" max="16384" width="9.109375" style="59"/>
  </cols>
  <sheetData>
    <row r="1" spans="1:15" ht="36.6" x14ac:dyDescent="0.25">
      <c r="A1" s="63" t="s">
        <v>287</v>
      </c>
    </row>
    <row r="4" spans="1:15" ht="36.6" x14ac:dyDescent="0.25">
      <c r="A4" s="563" t="s">
        <v>286</v>
      </c>
      <c r="B4" s="564"/>
      <c r="C4" s="564"/>
      <c r="D4" s="564"/>
      <c r="E4" s="564"/>
      <c r="F4" s="564"/>
      <c r="G4" s="564"/>
      <c r="H4" s="564"/>
      <c r="I4" s="564"/>
      <c r="J4" s="564"/>
      <c r="K4" s="564"/>
      <c r="L4" s="564"/>
      <c r="M4" s="564"/>
      <c r="N4" s="564"/>
    </row>
    <row r="5" spans="1:15" ht="59.25" customHeight="1" x14ac:dyDescent="0.25"/>
    <row r="6" spans="1:15" ht="59.25" customHeight="1" x14ac:dyDescent="0.25"/>
    <row r="7" spans="1:15" ht="36.6" x14ac:dyDescent="0.25">
      <c r="C7" s="565" t="s">
        <v>122</v>
      </c>
      <c r="D7" s="565"/>
      <c r="E7" s="565"/>
      <c r="F7" s="565"/>
      <c r="G7" s="565"/>
      <c r="H7" s="565"/>
      <c r="I7" s="565"/>
      <c r="J7" s="565"/>
      <c r="K7" s="565"/>
      <c r="L7" s="565"/>
    </row>
    <row r="8" spans="1:15" ht="51.75" customHeight="1" x14ac:dyDescent="0.25"/>
    <row r="9" spans="1:15" ht="51.75" customHeight="1" x14ac:dyDescent="0.25"/>
    <row r="10" spans="1:15" s="67" customFormat="1" ht="33" x14ac:dyDescent="0.25">
      <c r="C10" s="66"/>
      <c r="D10" s="66"/>
      <c r="E10" s="566" t="s">
        <v>123</v>
      </c>
      <c r="F10" s="566"/>
      <c r="G10" s="566"/>
      <c r="H10" s="67">
        <v>110</v>
      </c>
      <c r="I10" s="67" t="s">
        <v>124</v>
      </c>
      <c r="J10" s="67">
        <v>12</v>
      </c>
      <c r="K10" s="73" t="s">
        <v>125</v>
      </c>
      <c r="L10" s="74" t="s">
        <v>128</v>
      </c>
      <c r="O10" s="67">
        <v>31</v>
      </c>
    </row>
    <row r="15" spans="1:15" s="64" customFormat="1" ht="34.5" customHeight="1" x14ac:dyDescent="0.25">
      <c r="B15" s="567" t="s">
        <v>126</v>
      </c>
      <c r="C15" s="567"/>
      <c r="D15" s="567"/>
      <c r="E15" s="567"/>
      <c r="F15" s="567"/>
      <c r="H15" s="65"/>
      <c r="I15" s="65" t="s">
        <v>127</v>
      </c>
      <c r="J15" s="65"/>
      <c r="K15" s="65"/>
      <c r="L15" s="65"/>
    </row>
    <row r="16" spans="1:15" ht="12" customHeight="1" x14ac:dyDescent="0.25"/>
  </sheetData>
  <mergeCells count="4">
    <mergeCell ref="A4:N4"/>
    <mergeCell ref="C7:L7"/>
    <mergeCell ref="B15:F15"/>
    <mergeCell ref="E10:G10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I48"/>
  <sheetViews>
    <sheetView showGridLines="0" showOutlineSymbols="0" view="pageBreakPreview" topLeftCell="A7" zoomScale="90" zoomScaleSheetLayoutView="90" workbookViewId="0">
      <selection activeCell="T25" sqref="T25"/>
    </sheetView>
  </sheetViews>
  <sheetFormatPr defaultColWidth="6.88671875" defaultRowHeight="12.75" customHeight="1" x14ac:dyDescent="0.25"/>
  <cols>
    <col min="1" max="1" width="2.6640625" style="85" customWidth="1"/>
    <col min="2" max="2" width="1" style="85" customWidth="1"/>
    <col min="3" max="3" width="24" style="85" customWidth="1"/>
    <col min="4" max="4" width="6.109375" style="85" customWidth="1"/>
    <col min="5" max="6" width="1.109375" style="85" hidden="1" customWidth="1"/>
    <col min="7" max="7" width="16.109375" style="85" customWidth="1"/>
    <col min="8" max="8" width="3" style="85" hidden="1" customWidth="1"/>
    <col min="9" max="9" width="2.44140625" style="85" hidden="1" customWidth="1"/>
    <col min="10" max="10" width="9.88671875" style="85" bestFit="1" customWidth="1"/>
    <col min="11" max="11" width="10.88671875" style="85" hidden="1" customWidth="1"/>
    <col min="12" max="12" width="3" style="85" hidden="1" customWidth="1"/>
    <col min="13" max="13" width="10.88671875" style="85" customWidth="1"/>
    <col min="14" max="14" width="9" style="85" bestFit="1" customWidth="1"/>
    <col min="15" max="15" width="9.88671875" style="85" hidden="1" customWidth="1"/>
    <col min="16" max="16" width="1.6640625" style="85" hidden="1" customWidth="1"/>
    <col min="17" max="17" width="6.6640625" style="85" customWidth="1"/>
    <col min="18" max="19" width="1.109375" style="85" hidden="1" customWidth="1"/>
    <col min="20" max="20" width="12.88671875" style="85" customWidth="1"/>
    <col min="21" max="21" width="8" style="85" hidden="1" customWidth="1"/>
    <col min="22" max="22" width="1.33203125" style="85" hidden="1" customWidth="1"/>
    <col min="23" max="23" width="12.109375" style="85" customWidth="1"/>
    <col min="24" max="24" width="5.6640625" style="85" hidden="1" customWidth="1"/>
    <col min="25" max="25" width="2.6640625" style="85" hidden="1" customWidth="1"/>
    <col min="26" max="26" width="2.5546875" style="85" hidden="1" customWidth="1"/>
    <col min="27" max="27" width="11" style="85" customWidth="1"/>
    <col min="28" max="28" width="3" style="85" hidden="1" customWidth="1"/>
    <col min="29" max="29" width="3.88671875" style="85" hidden="1" customWidth="1"/>
    <col min="30" max="30" width="12.5546875" style="85" customWidth="1"/>
    <col min="31" max="31" width="0" style="85" hidden="1" customWidth="1"/>
    <col min="32" max="32" width="3.88671875" style="85" bestFit="1" customWidth="1"/>
    <col min="33" max="33" width="11.109375" style="215" customWidth="1"/>
    <col min="34" max="16384" width="6.88671875" style="85"/>
  </cols>
  <sheetData>
    <row r="1" spans="2:35" ht="2.25" customHeight="1" x14ac:dyDescent="0.25">
      <c r="AE1" s="606"/>
      <c r="AF1" s="606"/>
      <c r="AG1" s="606"/>
      <c r="AH1" s="606"/>
      <c r="AI1" s="606"/>
    </row>
    <row r="2" spans="2:35" ht="9" customHeight="1" x14ac:dyDescent="0.25">
      <c r="B2" s="475"/>
      <c r="C2" s="610" t="str">
        <f>[1]封面!$A$4</f>
        <v>彰化縣地方教育發展基金－彰化縣秀水鄉馬興國民小學</v>
      </c>
      <c r="D2" s="610"/>
      <c r="E2" s="610"/>
      <c r="F2" s="610"/>
      <c r="G2" s="610"/>
      <c r="H2" s="610"/>
      <c r="I2" s="610"/>
      <c r="J2" s="610"/>
      <c r="K2" s="610"/>
      <c r="L2" s="610"/>
      <c r="M2" s="610"/>
      <c r="N2" s="610"/>
      <c r="O2" s="610"/>
      <c r="P2" s="610"/>
      <c r="Q2" s="610"/>
      <c r="R2" s="610"/>
      <c r="S2" s="610"/>
      <c r="T2" s="610"/>
      <c r="U2" s="610"/>
      <c r="V2" s="610"/>
      <c r="W2" s="610"/>
      <c r="X2" s="610"/>
      <c r="Y2" s="610"/>
      <c r="Z2" s="610"/>
      <c r="AA2" s="610"/>
      <c r="AB2" s="610"/>
      <c r="AC2" s="610"/>
      <c r="AD2" s="610"/>
      <c r="AE2" s="606"/>
      <c r="AF2" s="606"/>
      <c r="AG2" s="606"/>
      <c r="AH2" s="606"/>
      <c r="AI2" s="606"/>
    </row>
    <row r="3" spans="2:35" ht="18" customHeight="1" x14ac:dyDescent="0.25">
      <c r="B3" s="475"/>
      <c r="C3" s="610"/>
      <c r="D3" s="610"/>
      <c r="E3" s="610"/>
      <c r="F3" s="610"/>
      <c r="G3" s="610"/>
      <c r="H3" s="610"/>
      <c r="I3" s="610"/>
      <c r="J3" s="610"/>
      <c r="K3" s="610"/>
      <c r="L3" s="610"/>
      <c r="M3" s="610"/>
      <c r="N3" s="610"/>
      <c r="O3" s="610"/>
      <c r="P3" s="610"/>
      <c r="Q3" s="610"/>
      <c r="R3" s="610"/>
      <c r="S3" s="610"/>
      <c r="T3" s="610"/>
      <c r="U3" s="610"/>
      <c r="V3" s="610"/>
      <c r="W3" s="610"/>
      <c r="X3" s="610"/>
      <c r="Y3" s="610"/>
      <c r="Z3" s="610"/>
      <c r="AA3" s="610"/>
      <c r="AB3" s="610"/>
      <c r="AC3" s="610"/>
      <c r="AD3" s="610"/>
    </row>
    <row r="4" spans="2:35" ht="24" customHeight="1" x14ac:dyDescent="0.25">
      <c r="B4" s="607" t="s">
        <v>9</v>
      </c>
      <c r="C4" s="607"/>
      <c r="D4" s="607"/>
      <c r="E4" s="607"/>
      <c r="F4" s="607"/>
      <c r="G4" s="607"/>
      <c r="H4" s="607"/>
      <c r="I4" s="607"/>
      <c r="J4" s="607"/>
      <c r="K4" s="607"/>
      <c r="L4" s="607"/>
      <c r="M4" s="607"/>
      <c r="N4" s="607"/>
      <c r="O4" s="607"/>
      <c r="P4" s="607"/>
      <c r="Q4" s="607"/>
      <c r="R4" s="607"/>
      <c r="S4" s="607"/>
      <c r="T4" s="607"/>
      <c r="U4" s="607"/>
      <c r="V4" s="607"/>
      <c r="W4" s="607"/>
      <c r="X4" s="607"/>
      <c r="Y4" s="607"/>
      <c r="Z4" s="607"/>
      <c r="AA4" s="607"/>
      <c r="AB4" s="607"/>
      <c r="AC4" s="607"/>
      <c r="AD4" s="607"/>
    </row>
    <row r="5" spans="2:35" ht="7.5" customHeight="1" x14ac:dyDescent="0.25">
      <c r="C5" s="608" t="str">
        <f>封面!$E$10&amp;封面!$H$10&amp;封面!$I$10&amp;封面!$J$10&amp;封面!$K$10&amp;封面!L10</f>
        <v>中華民國110年12月份</v>
      </c>
      <c r="D5" s="608"/>
      <c r="E5" s="608"/>
      <c r="F5" s="608"/>
      <c r="G5" s="608"/>
      <c r="H5" s="608"/>
      <c r="I5" s="608"/>
      <c r="J5" s="608"/>
      <c r="K5" s="608"/>
      <c r="L5" s="608"/>
      <c r="M5" s="608"/>
      <c r="N5" s="608"/>
      <c r="O5" s="608"/>
      <c r="P5" s="608"/>
      <c r="Q5" s="608"/>
      <c r="R5" s="608"/>
      <c r="S5" s="608"/>
      <c r="T5" s="608"/>
      <c r="U5" s="608"/>
      <c r="V5" s="608"/>
      <c r="W5" s="608"/>
      <c r="X5" s="608"/>
      <c r="Y5" s="608"/>
      <c r="Z5" s="608"/>
      <c r="AA5" s="608"/>
      <c r="AB5" s="608"/>
      <c r="AC5" s="608"/>
      <c r="AD5" s="608"/>
    </row>
    <row r="6" spans="2:35" ht="13.8" customHeight="1" x14ac:dyDescent="0.25">
      <c r="C6" s="608"/>
      <c r="D6" s="608"/>
      <c r="E6" s="608"/>
      <c r="F6" s="608"/>
      <c r="G6" s="608"/>
      <c r="H6" s="608"/>
      <c r="I6" s="608"/>
      <c r="J6" s="608"/>
      <c r="K6" s="608"/>
      <c r="L6" s="608"/>
      <c r="M6" s="608"/>
      <c r="N6" s="608"/>
      <c r="O6" s="608"/>
      <c r="P6" s="608"/>
      <c r="Q6" s="608"/>
      <c r="R6" s="608"/>
      <c r="S6" s="608"/>
      <c r="T6" s="608"/>
      <c r="U6" s="608"/>
      <c r="V6" s="608"/>
      <c r="W6" s="608"/>
      <c r="X6" s="608"/>
      <c r="Y6" s="608"/>
      <c r="Z6" s="608"/>
      <c r="AA6" s="608"/>
      <c r="AB6" s="608"/>
      <c r="AC6" s="608"/>
      <c r="AD6" s="608"/>
    </row>
    <row r="7" spans="2:35" ht="16.2" customHeight="1" x14ac:dyDescent="0.25">
      <c r="Y7" s="609" t="s">
        <v>1</v>
      </c>
      <c r="Z7" s="609"/>
      <c r="AA7" s="609"/>
      <c r="AB7" s="609"/>
      <c r="AC7" s="609"/>
      <c r="AD7" s="609"/>
    </row>
    <row r="8" spans="2:35" ht="3.75" customHeight="1" x14ac:dyDescent="0.25"/>
    <row r="9" spans="2:35" s="86" customFormat="1" ht="12.75" customHeight="1" x14ac:dyDescent="0.25">
      <c r="C9" s="595" t="s">
        <v>390</v>
      </c>
      <c r="D9" s="597"/>
      <c r="E9" s="474"/>
      <c r="F9" s="474"/>
      <c r="G9" s="592" t="s">
        <v>12</v>
      </c>
      <c r="H9" s="474"/>
      <c r="I9" s="474"/>
      <c r="J9" s="595" t="s">
        <v>10</v>
      </c>
      <c r="K9" s="596"/>
      <c r="L9" s="596"/>
      <c r="M9" s="596"/>
      <c r="N9" s="596"/>
      <c r="O9" s="596"/>
      <c r="P9" s="596"/>
      <c r="Q9" s="597"/>
      <c r="R9" s="474"/>
      <c r="S9" s="474"/>
      <c r="T9" s="595" t="s">
        <v>11</v>
      </c>
      <c r="U9" s="596"/>
      <c r="V9" s="596"/>
      <c r="W9" s="596"/>
      <c r="X9" s="596"/>
      <c r="Y9" s="596"/>
      <c r="Z9" s="596"/>
      <c r="AA9" s="596"/>
      <c r="AB9" s="596"/>
      <c r="AC9" s="596"/>
      <c r="AD9" s="597"/>
      <c r="AG9" s="216"/>
    </row>
    <row r="10" spans="2:35" s="86" customFormat="1" ht="2.25" customHeight="1" x14ac:dyDescent="0.25">
      <c r="C10" s="601"/>
      <c r="D10" s="603"/>
      <c r="E10" s="474"/>
      <c r="F10" s="474"/>
      <c r="G10" s="593"/>
      <c r="H10" s="473"/>
      <c r="I10" s="474"/>
      <c r="J10" s="601"/>
      <c r="K10" s="602"/>
      <c r="L10" s="602"/>
      <c r="M10" s="602"/>
      <c r="N10" s="602"/>
      <c r="O10" s="602"/>
      <c r="P10" s="602"/>
      <c r="Q10" s="603"/>
      <c r="R10" s="474"/>
      <c r="S10" s="474"/>
      <c r="T10" s="601"/>
      <c r="U10" s="602"/>
      <c r="V10" s="602"/>
      <c r="W10" s="602"/>
      <c r="X10" s="602"/>
      <c r="Y10" s="602"/>
      <c r="Z10" s="602"/>
      <c r="AA10" s="602"/>
      <c r="AB10" s="602"/>
      <c r="AC10" s="602"/>
      <c r="AD10" s="603"/>
      <c r="AG10" s="216"/>
    </row>
    <row r="11" spans="2:35" s="86" customFormat="1" ht="12.75" hidden="1" customHeight="1" x14ac:dyDescent="0.25">
      <c r="C11" s="474"/>
      <c r="D11" s="474"/>
      <c r="E11" s="474"/>
      <c r="F11" s="474"/>
      <c r="G11" s="593"/>
      <c r="H11" s="473"/>
      <c r="I11" s="474"/>
      <c r="J11" s="474"/>
      <c r="K11" s="474"/>
      <c r="L11" s="474"/>
      <c r="M11" s="474"/>
      <c r="N11" s="474"/>
      <c r="O11" s="474"/>
      <c r="P11" s="474"/>
      <c r="Q11" s="474"/>
      <c r="R11" s="474"/>
      <c r="S11" s="474"/>
      <c r="T11" s="474"/>
      <c r="U11" s="474"/>
      <c r="V11" s="474"/>
      <c r="W11" s="474"/>
      <c r="X11" s="474"/>
      <c r="Y11" s="474"/>
      <c r="Z11" s="474"/>
      <c r="AA11" s="474"/>
      <c r="AB11" s="474"/>
      <c r="AC11" s="474"/>
      <c r="AD11" s="474"/>
      <c r="AG11" s="216"/>
    </row>
    <row r="12" spans="2:35" s="86" customFormat="1" ht="15" customHeight="1" x14ac:dyDescent="0.25">
      <c r="C12" s="589" t="s">
        <v>391</v>
      </c>
      <c r="D12" s="592" t="s">
        <v>7</v>
      </c>
      <c r="E12" s="474"/>
      <c r="F12" s="474"/>
      <c r="G12" s="593"/>
      <c r="H12" s="473"/>
      <c r="I12" s="474"/>
      <c r="J12" s="592" t="s">
        <v>14</v>
      </c>
      <c r="K12" s="592" t="s">
        <v>14</v>
      </c>
      <c r="L12" s="474"/>
      <c r="M12" s="592" t="s">
        <v>15</v>
      </c>
      <c r="N12" s="595" t="s">
        <v>13</v>
      </c>
      <c r="O12" s="596"/>
      <c r="P12" s="596"/>
      <c r="Q12" s="596"/>
      <c r="R12" s="597"/>
      <c r="S12" s="474"/>
      <c r="T12" s="589" t="s">
        <v>392</v>
      </c>
      <c r="U12" s="474"/>
      <c r="V12" s="474"/>
      <c r="W12" s="595" t="s">
        <v>15</v>
      </c>
      <c r="X12" s="596"/>
      <c r="Y12" s="597"/>
      <c r="Z12" s="474"/>
      <c r="AA12" s="611" t="s">
        <v>13</v>
      </c>
      <c r="AB12" s="612"/>
      <c r="AC12" s="612"/>
      <c r="AD12" s="613"/>
      <c r="AG12" s="216"/>
    </row>
    <row r="13" spans="2:35" s="86" customFormat="1" ht="14.25" customHeight="1" x14ac:dyDescent="0.25">
      <c r="C13" s="590"/>
      <c r="D13" s="593"/>
      <c r="E13" s="476"/>
      <c r="F13" s="474"/>
      <c r="G13" s="593"/>
      <c r="H13" s="473"/>
      <c r="I13" s="474"/>
      <c r="J13" s="593"/>
      <c r="K13" s="593"/>
      <c r="L13" s="474"/>
      <c r="M13" s="593"/>
      <c r="N13" s="601"/>
      <c r="O13" s="602"/>
      <c r="P13" s="602"/>
      <c r="Q13" s="602"/>
      <c r="R13" s="603"/>
      <c r="S13" s="474"/>
      <c r="T13" s="590"/>
      <c r="U13" s="604"/>
      <c r="V13" s="474"/>
      <c r="W13" s="598"/>
      <c r="X13" s="599"/>
      <c r="Y13" s="600"/>
      <c r="Z13" s="474"/>
      <c r="AA13" s="614"/>
      <c r="AB13" s="615"/>
      <c r="AC13" s="615"/>
      <c r="AD13" s="616"/>
      <c r="AG13" s="216"/>
    </row>
    <row r="14" spans="2:35" s="86" customFormat="1" ht="13.5" hidden="1" customHeight="1" x14ac:dyDescent="0.25">
      <c r="C14" s="590"/>
      <c r="D14" s="593"/>
      <c r="E14" s="476"/>
      <c r="F14" s="474"/>
      <c r="G14" s="593"/>
      <c r="H14" s="474"/>
      <c r="I14" s="474"/>
      <c r="J14" s="593"/>
      <c r="K14" s="593"/>
      <c r="L14" s="474"/>
      <c r="M14" s="593"/>
      <c r="N14" s="592" t="s">
        <v>4</v>
      </c>
      <c r="O14" s="592" t="s">
        <v>4</v>
      </c>
      <c r="P14" s="474"/>
      <c r="Q14" s="595" t="s">
        <v>5</v>
      </c>
      <c r="R14" s="597"/>
      <c r="S14" s="474"/>
      <c r="T14" s="590"/>
      <c r="U14" s="605"/>
      <c r="V14" s="474"/>
      <c r="W14" s="598"/>
      <c r="X14" s="599"/>
      <c r="Y14" s="600"/>
      <c r="Z14" s="474"/>
      <c r="AA14" s="604" t="s">
        <v>4</v>
      </c>
      <c r="AB14" s="474"/>
      <c r="AC14" s="474"/>
      <c r="AD14" s="604" t="s">
        <v>5</v>
      </c>
      <c r="AG14" s="216"/>
    </row>
    <row r="15" spans="2:35" s="86" customFormat="1" ht="18" customHeight="1" x14ac:dyDescent="0.25">
      <c r="C15" s="591"/>
      <c r="D15" s="594"/>
      <c r="E15" s="476"/>
      <c r="F15" s="474"/>
      <c r="G15" s="594"/>
      <c r="H15" s="474"/>
      <c r="I15" s="474"/>
      <c r="J15" s="594"/>
      <c r="K15" s="594"/>
      <c r="L15" s="474"/>
      <c r="M15" s="594"/>
      <c r="N15" s="594"/>
      <c r="O15" s="594"/>
      <c r="P15" s="474"/>
      <c r="Q15" s="601"/>
      <c r="R15" s="603"/>
      <c r="S15" s="474"/>
      <c r="T15" s="591"/>
      <c r="U15" s="474"/>
      <c r="V15" s="474"/>
      <c r="W15" s="601"/>
      <c r="X15" s="602"/>
      <c r="Y15" s="603"/>
      <c r="Z15" s="474"/>
      <c r="AA15" s="605"/>
      <c r="AB15" s="474"/>
      <c r="AC15" s="474"/>
      <c r="AD15" s="605"/>
      <c r="AG15" s="216"/>
    </row>
    <row r="16" spans="2:35" ht="15" x14ac:dyDescent="0.3">
      <c r="C16" s="385" t="s">
        <v>16</v>
      </c>
      <c r="D16" s="443" t="s">
        <v>393</v>
      </c>
      <c r="E16" s="386"/>
      <c r="F16" s="87"/>
      <c r="G16" s="176">
        <v>35721000</v>
      </c>
      <c r="H16" s="176"/>
      <c r="I16" s="176"/>
      <c r="J16" s="176">
        <v>247340</v>
      </c>
      <c r="K16" s="176"/>
      <c r="L16" s="176"/>
      <c r="M16" s="176">
        <v>223000</v>
      </c>
      <c r="N16" s="177">
        <v>24340</v>
      </c>
      <c r="O16" s="177"/>
      <c r="P16" s="108"/>
      <c r="Q16" s="182">
        <v>10.914798206278027</v>
      </c>
      <c r="R16" s="108"/>
      <c r="S16" s="208"/>
      <c r="T16" s="210">
        <v>35921448</v>
      </c>
      <c r="U16" s="176"/>
      <c r="V16" s="177"/>
      <c r="W16" s="213">
        <v>35721000</v>
      </c>
      <c r="X16" s="210"/>
      <c r="Y16" s="176"/>
      <c r="Z16" s="177"/>
      <c r="AA16" s="181">
        <v>200448</v>
      </c>
      <c r="AB16" s="108"/>
      <c r="AC16" s="108"/>
      <c r="AD16" s="182">
        <v>0.56114890400604689</v>
      </c>
      <c r="AF16" s="85">
        <v>1</v>
      </c>
      <c r="AG16" s="215" t="str">
        <f>IF(LEN(D16)&lt;3,"",IF(OR(ABS(AD16)&gt;10,ABS(AA16)&gt;10000000,AND(T16&gt;0,W16=0)),"填寫說明",""))</f>
        <v/>
      </c>
    </row>
    <row r="17" spans="3:33" ht="15" x14ac:dyDescent="0.3">
      <c r="C17" s="403" t="s">
        <v>17</v>
      </c>
      <c r="D17" s="443" t="s">
        <v>394</v>
      </c>
      <c r="E17" s="405"/>
      <c r="F17" s="89"/>
      <c r="G17" s="178">
        <v>10000</v>
      </c>
      <c r="H17" s="178"/>
      <c r="I17" s="178"/>
      <c r="J17" s="178">
        <v>5750</v>
      </c>
      <c r="K17" s="179"/>
      <c r="L17" s="179"/>
      <c r="M17" s="179"/>
      <c r="N17" s="179">
        <v>5750</v>
      </c>
      <c r="O17" s="179"/>
      <c r="P17" s="109"/>
      <c r="Q17" s="111"/>
      <c r="R17" s="109"/>
      <c r="S17" s="209"/>
      <c r="T17" s="212">
        <v>8264</v>
      </c>
      <c r="U17" s="179"/>
      <c r="V17" s="179"/>
      <c r="W17" s="214">
        <v>10000</v>
      </c>
      <c r="X17" s="211"/>
      <c r="Y17" s="179"/>
      <c r="Z17" s="179"/>
      <c r="AA17" s="179">
        <v>-1736</v>
      </c>
      <c r="AB17" s="109"/>
      <c r="AC17" s="109"/>
      <c r="AD17" s="111">
        <v>-17.36</v>
      </c>
      <c r="AF17" s="85">
        <v>4</v>
      </c>
      <c r="AG17" s="215" t="str">
        <f t="shared" ref="AG17:AG45" si="0">IF(LEN(D17)&lt;3,"",IF(OR(ABS(AD17)&gt;10,ABS(AA17)&gt;10000000,AND(T17&gt;0,W17=0)),"填寫說明",""))</f>
        <v/>
      </c>
    </row>
    <row r="18" spans="3:33" ht="15" x14ac:dyDescent="0.3">
      <c r="C18" s="406" t="s">
        <v>18</v>
      </c>
      <c r="D18" s="443" t="s">
        <v>395</v>
      </c>
      <c r="E18" s="404"/>
      <c r="F18" s="89"/>
      <c r="G18" s="178">
        <v>10000</v>
      </c>
      <c r="H18" s="178"/>
      <c r="I18" s="178"/>
      <c r="J18" s="178">
        <v>5750</v>
      </c>
      <c r="K18" s="179"/>
      <c r="L18" s="179"/>
      <c r="M18" s="179"/>
      <c r="N18" s="179">
        <v>5750</v>
      </c>
      <c r="O18" s="179"/>
      <c r="P18" s="109"/>
      <c r="Q18" s="111"/>
      <c r="R18" s="109"/>
      <c r="S18" s="209"/>
      <c r="T18" s="212">
        <v>8264</v>
      </c>
      <c r="U18" s="179"/>
      <c r="V18" s="179"/>
      <c r="W18" s="214">
        <v>10000</v>
      </c>
      <c r="X18" s="211"/>
      <c r="Y18" s="179"/>
      <c r="Z18" s="179"/>
      <c r="AA18" s="179">
        <v>-1736</v>
      </c>
      <c r="AB18" s="109"/>
      <c r="AC18" s="109"/>
      <c r="AD18" s="111">
        <v>-17.36</v>
      </c>
      <c r="AF18" s="85">
        <v>5</v>
      </c>
      <c r="AG18" s="215" t="str">
        <f t="shared" si="0"/>
        <v>填寫說明</v>
      </c>
    </row>
    <row r="19" spans="3:33" ht="15" x14ac:dyDescent="0.3">
      <c r="C19" s="403" t="s">
        <v>19</v>
      </c>
      <c r="D19" s="443" t="s">
        <v>396</v>
      </c>
      <c r="E19" s="405"/>
      <c r="F19" s="89"/>
      <c r="G19" s="178">
        <v>1000</v>
      </c>
      <c r="H19" s="178"/>
      <c r="I19" s="178"/>
      <c r="J19" s="178">
        <v>7058</v>
      </c>
      <c r="K19" s="178"/>
      <c r="L19" s="178"/>
      <c r="M19" s="178">
        <v>1000</v>
      </c>
      <c r="N19" s="179">
        <v>6058</v>
      </c>
      <c r="O19" s="179"/>
      <c r="P19" s="109"/>
      <c r="Q19" s="111">
        <v>605.79999999999995</v>
      </c>
      <c r="R19" s="109"/>
      <c r="S19" s="209"/>
      <c r="T19" s="212">
        <v>44476</v>
      </c>
      <c r="U19" s="178"/>
      <c r="V19" s="179"/>
      <c r="W19" s="214">
        <v>1000</v>
      </c>
      <c r="X19" s="212"/>
      <c r="Y19" s="178"/>
      <c r="Z19" s="179"/>
      <c r="AA19" s="179">
        <v>43476</v>
      </c>
      <c r="AB19" s="109"/>
      <c r="AC19" s="109"/>
      <c r="AD19" s="111">
        <v>4347.6000000000004</v>
      </c>
      <c r="AF19" s="85">
        <v>6</v>
      </c>
      <c r="AG19" s="215" t="str">
        <f t="shared" si="0"/>
        <v/>
      </c>
    </row>
    <row r="20" spans="3:33" ht="15" x14ac:dyDescent="0.3">
      <c r="C20" s="406" t="s">
        <v>397</v>
      </c>
      <c r="D20" s="443">
        <v>451</v>
      </c>
      <c r="E20" s="89"/>
      <c r="F20" s="89"/>
      <c r="G20" s="178"/>
      <c r="H20" s="178"/>
      <c r="I20" s="178"/>
      <c r="J20" s="178">
        <v>5452</v>
      </c>
      <c r="K20" s="178"/>
      <c r="L20" s="178"/>
      <c r="M20" s="178"/>
      <c r="N20" s="179">
        <v>5452</v>
      </c>
      <c r="O20" s="179"/>
      <c r="P20" s="109"/>
      <c r="Q20" s="111"/>
      <c r="R20" s="109"/>
      <c r="S20" s="209"/>
      <c r="T20" s="435">
        <v>42870</v>
      </c>
      <c r="U20" s="178"/>
      <c r="V20" s="179"/>
      <c r="W20" s="435"/>
      <c r="X20" s="212"/>
      <c r="Y20" s="178"/>
      <c r="Z20" s="179"/>
      <c r="AA20" s="179">
        <v>42870</v>
      </c>
      <c r="AB20" s="109"/>
      <c r="AC20" s="109"/>
      <c r="AD20" s="111"/>
      <c r="AF20" s="85">
        <v>7</v>
      </c>
      <c r="AG20" s="215" t="str">
        <f t="shared" si="0"/>
        <v>填寫說明</v>
      </c>
    </row>
    <row r="21" spans="3:33" ht="15" x14ac:dyDescent="0.3">
      <c r="C21" s="406" t="s">
        <v>20</v>
      </c>
      <c r="D21" s="443" t="s">
        <v>398</v>
      </c>
      <c r="E21" s="405"/>
      <c r="F21" s="89"/>
      <c r="G21" s="178">
        <v>1000</v>
      </c>
      <c r="H21" s="178"/>
      <c r="I21" s="178"/>
      <c r="J21" s="178">
        <v>1606</v>
      </c>
      <c r="K21" s="179"/>
      <c r="L21" s="179"/>
      <c r="M21" s="179">
        <v>1000</v>
      </c>
      <c r="N21" s="179">
        <v>606</v>
      </c>
      <c r="O21" s="179"/>
      <c r="P21" s="109"/>
      <c r="Q21" s="111">
        <v>60.6</v>
      </c>
      <c r="R21" s="109"/>
      <c r="S21" s="209"/>
      <c r="T21" s="212">
        <v>1606</v>
      </c>
      <c r="U21" s="179"/>
      <c r="V21" s="179"/>
      <c r="W21" s="214">
        <v>1000</v>
      </c>
      <c r="X21" s="212"/>
      <c r="Y21" s="178"/>
      <c r="Z21" s="178"/>
      <c r="AA21" s="178">
        <v>606</v>
      </c>
      <c r="AB21" s="109"/>
      <c r="AC21" s="111"/>
      <c r="AD21" s="111">
        <v>60.6</v>
      </c>
      <c r="AF21" s="85">
        <v>8</v>
      </c>
      <c r="AG21" s="215" t="str">
        <f t="shared" si="0"/>
        <v>填寫說明</v>
      </c>
    </row>
    <row r="22" spans="3:33" ht="15" x14ac:dyDescent="0.3">
      <c r="C22" s="403" t="s">
        <v>399</v>
      </c>
      <c r="D22" s="443" t="s">
        <v>400</v>
      </c>
      <c r="E22" s="404"/>
      <c r="F22" s="89"/>
      <c r="G22" s="178">
        <v>35700000</v>
      </c>
      <c r="H22" s="178"/>
      <c r="I22" s="178"/>
      <c r="J22" s="178">
        <v>222000</v>
      </c>
      <c r="K22" s="179"/>
      <c r="L22" s="179"/>
      <c r="M22" s="179">
        <v>222000</v>
      </c>
      <c r="N22" s="179"/>
      <c r="O22" s="179"/>
      <c r="P22" s="109"/>
      <c r="Q22" s="111"/>
      <c r="R22" s="109"/>
      <c r="S22" s="209"/>
      <c r="T22" s="212">
        <v>35845693</v>
      </c>
      <c r="U22" s="179"/>
      <c r="V22" s="179"/>
      <c r="W22" s="214">
        <v>35700000</v>
      </c>
      <c r="X22" s="212"/>
      <c r="Y22" s="178"/>
      <c r="Z22" s="178"/>
      <c r="AA22" s="178">
        <v>145693</v>
      </c>
      <c r="AB22" s="109"/>
      <c r="AC22" s="111"/>
      <c r="AD22" s="111">
        <v>0.40810364145658262</v>
      </c>
      <c r="AF22" s="85">
        <v>9</v>
      </c>
      <c r="AG22" s="215" t="str">
        <f t="shared" si="0"/>
        <v/>
      </c>
    </row>
    <row r="23" spans="3:33" ht="15" x14ac:dyDescent="0.3">
      <c r="C23" s="406" t="s">
        <v>22</v>
      </c>
      <c r="D23" s="443" t="s">
        <v>401</v>
      </c>
      <c r="E23" s="405"/>
      <c r="F23" s="89"/>
      <c r="G23" s="178">
        <v>35700000</v>
      </c>
      <c r="H23" s="178"/>
      <c r="I23" s="178"/>
      <c r="J23" s="178">
        <v>222000</v>
      </c>
      <c r="K23" s="178"/>
      <c r="L23" s="178"/>
      <c r="M23" s="178">
        <v>222000</v>
      </c>
      <c r="N23" s="178"/>
      <c r="O23" s="178"/>
      <c r="P23" s="110"/>
      <c r="Q23" s="111"/>
      <c r="R23" s="111"/>
      <c r="S23" s="209"/>
      <c r="T23" s="212">
        <v>35845693</v>
      </c>
      <c r="U23" s="178"/>
      <c r="V23" s="179"/>
      <c r="W23" s="214">
        <v>35700000</v>
      </c>
      <c r="X23" s="212"/>
      <c r="Y23" s="178"/>
      <c r="Z23" s="178"/>
      <c r="AA23" s="178">
        <v>145693</v>
      </c>
      <c r="AB23" s="109"/>
      <c r="AC23" s="111"/>
      <c r="AD23" s="111">
        <v>0.40810364145658262</v>
      </c>
      <c r="AF23" s="85">
        <v>10</v>
      </c>
      <c r="AG23" s="215" t="str">
        <f t="shared" si="0"/>
        <v/>
      </c>
    </row>
    <row r="24" spans="3:33" ht="15" x14ac:dyDescent="0.3">
      <c r="C24" s="174" t="s">
        <v>189</v>
      </c>
      <c r="D24" s="443" t="s">
        <v>402</v>
      </c>
      <c r="E24" s="89"/>
      <c r="F24" s="89"/>
      <c r="G24" s="178">
        <v>10000</v>
      </c>
      <c r="H24" s="178"/>
      <c r="I24" s="178"/>
      <c r="J24" s="178">
        <v>12532</v>
      </c>
      <c r="K24" s="178"/>
      <c r="L24" s="178"/>
      <c r="M24" s="178"/>
      <c r="N24" s="178">
        <v>12532</v>
      </c>
      <c r="O24" s="178"/>
      <c r="P24" s="110"/>
      <c r="Q24" s="111"/>
      <c r="R24" s="111"/>
      <c r="S24" s="209"/>
      <c r="T24" s="212">
        <v>23015</v>
      </c>
      <c r="U24" s="178"/>
      <c r="V24" s="179"/>
      <c r="W24" s="214">
        <v>10000</v>
      </c>
      <c r="X24" s="212"/>
      <c r="Y24" s="178"/>
      <c r="Z24" s="178"/>
      <c r="AA24" s="178">
        <v>13015</v>
      </c>
      <c r="AB24" s="109"/>
      <c r="AC24" s="111"/>
      <c r="AD24" s="111">
        <v>130.15</v>
      </c>
      <c r="AF24" s="85">
        <v>11</v>
      </c>
      <c r="AG24" s="215" t="str">
        <f t="shared" si="0"/>
        <v/>
      </c>
    </row>
    <row r="25" spans="3:33" ht="15" x14ac:dyDescent="0.3">
      <c r="C25" s="175" t="s">
        <v>403</v>
      </c>
      <c r="D25" s="443" t="s">
        <v>404</v>
      </c>
      <c r="E25" s="89"/>
      <c r="F25" s="89"/>
      <c r="G25" s="178">
        <v>10000</v>
      </c>
      <c r="H25" s="178"/>
      <c r="I25" s="178"/>
      <c r="J25" s="178">
        <v>12532</v>
      </c>
      <c r="K25" s="178"/>
      <c r="L25" s="178"/>
      <c r="M25" s="178"/>
      <c r="N25" s="178">
        <v>12532</v>
      </c>
      <c r="O25" s="178"/>
      <c r="P25" s="110"/>
      <c r="Q25" s="111"/>
      <c r="R25" s="111"/>
      <c r="S25" s="209"/>
      <c r="T25" s="212">
        <v>23015</v>
      </c>
      <c r="U25" s="178"/>
      <c r="V25" s="179"/>
      <c r="W25" s="214">
        <v>10000</v>
      </c>
      <c r="X25" s="212"/>
      <c r="Y25" s="178"/>
      <c r="Z25" s="178"/>
      <c r="AA25" s="178">
        <v>13015</v>
      </c>
      <c r="AB25" s="109"/>
      <c r="AC25" s="111"/>
      <c r="AD25" s="111">
        <v>130.15</v>
      </c>
      <c r="AF25" s="85">
        <v>12</v>
      </c>
      <c r="AG25" s="215" t="str">
        <f t="shared" si="0"/>
        <v>填寫說明</v>
      </c>
    </row>
    <row r="26" spans="3:33" ht="15" x14ac:dyDescent="0.3">
      <c r="C26" s="170" t="s">
        <v>172</v>
      </c>
      <c r="D26" s="443" t="s">
        <v>405</v>
      </c>
      <c r="E26" s="89"/>
      <c r="F26" s="89"/>
      <c r="G26" s="178">
        <v>36156000</v>
      </c>
      <c r="H26" s="178"/>
      <c r="I26" s="178"/>
      <c r="J26" s="178">
        <v>910697</v>
      </c>
      <c r="K26" s="178"/>
      <c r="L26" s="178"/>
      <c r="M26" s="179">
        <v>223000</v>
      </c>
      <c r="N26" s="178">
        <v>687697</v>
      </c>
      <c r="O26" s="178"/>
      <c r="P26" s="110"/>
      <c r="Q26" s="111">
        <v>308.3843049327354</v>
      </c>
      <c r="R26" s="109"/>
      <c r="S26" s="109"/>
      <c r="T26" s="178">
        <v>36052768</v>
      </c>
      <c r="U26" s="178"/>
      <c r="V26" s="179"/>
      <c r="W26" s="178">
        <v>36156000</v>
      </c>
      <c r="X26" s="178"/>
      <c r="Y26" s="178"/>
      <c r="Z26" s="178"/>
      <c r="AA26" s="178">
        <v>-103232</v>
      </c>
      <c r="AB26" s="109"/>
      <c r="AC26" s="111"/>
      <c r="AD26" s="111">
        <v>-0.28551830954751639</v>
      </c>
      <c r="AF26" s="85">
        <v>13</v>
      </c>
      <c r="AG26" s="215" t="str">
        <f t="shared" si="0"/>
        <v/>
      </c>
    </row>
    <row r="27" spans="3:33" ht="15" x14ac:dyDescent="0.3">
      <c r="C27" s="174" t="s">
        <v>23</v>
      </c>
      <c r="D27" s="443" t="s">
        <v>406</v>
      </c>
      <c r="E27" s="170"/>
      <c r="F27" s="89"/>
      <c r="G27" s="178">
        <v>36156000</v>
      </c>
      <c r="H27" s="178"/>
      <c r="I27" s="178"/>
      <c r="J27" s="178">
        <v>910697</v>
      </c>
      <c r="K27" s="178"/>
      <c r="L27" s="178"/>
      <c r="M27" s="179">
        <v>223000</v>
      </c>
      <c r="N27" s="178">
        <v>687697</v>
      </c>
      <c r="O27" s="178"/>
      <c r="P27" s="110"/>
      <c r="Q27" s="111">
        <v>308.3843049327354</v>
      </c>
      <c r="R27" s="109"/>
      <c r="S27" s="109"/>
      <c r="T27" s="178">
        <v>36052768</v>
      </c>
      <c r="U27" s="178"/>
      <c r="V27" s="179"/>
      <c r="W27" s="178">
        <v>36156000</v>
      </c>
      <c r="X27" s="178"/>
      <c r="Y27" s="178"/>
      <c r="Z27" s="178"/>
      <c r="AA27" s="178">
        <v>-103232</v>
      </c>
      <c r="AB27" s="109"/>
      <c r="AC27" s="111"/>
      <c r="AD27" s="111">
        <v>-0.28551830954751639</v>
      </c>
      <c r="AF27" s="85">
        <v>14</v>
      </c>
      <c r="AG27" s="215" t="str">
        <f t="shared" si="0"/>
        <v/>
      </c>
    </row>
    <row r="28" spans="3:33" ht="15" x14ac:dyDescent="0.3">
      <c r="C28" s="175" t="s">
        <v>24</v>
      </c>
      <c r="D28" s="443" t="s">
        <v>407</v>
      </c>
      <c r="E28" s="89"/>
      <c r="F28" s="89"/>
      <c r="G28" s="178">
        <v>36156000</v>
      </c>
      <c r="H28" s="178"/>
      <c r="I28" s="178"/>
      <c r="J28" s="178">
        <v>910697</v>
      </c>
      <c r="K28" s="178"/>
      <c r="L28" s="178"/>
      <c r="M28" s="179">
        <v>223000</v>
      </c>
      <c r="N28" s="178">
        <v>687697</v>
      </c>
      <c r="O28" s="178"/>
      <c r="P28" s="110"/>
      <c r="Q28" s="111">
        <v>308.3843049327354</v>
      </c>
      <c r="R28" s="109"/>
      <c r="S28" s="109"/>
      <c r="T28" s="178">
        <v>36052768</v>
      </c>
      <c r="U28" s="178"/>
      <c r="V28" s="179"/>
      <c r="W28" s="178">
        <v>36156000</v>
      </c>
      <c r="X28" s="178"/>
      <c r="Y28" s="178"/>
      <c r="Z28" s="178"/>
      <c r="AA28" s="178">
        <v>-103232</v>
      </c>
      <c r="AB28" s="109"/>
      <c r="AC28" s="111"/>
      <c r="AD28" s="111">
        <v>-0.28551830954751639</v>
      </c>
      <c r="AF28" s="85">
        <v>15</v>
      </c>
      <c r="AG28" s="215" t="str">
        <f t="shared" si="0"/>
        <v/>
      </c>
    </row>
    <row r="29" spans="3:33" ht="15" x14ac:dyDescent="0.3">
      <c r="C29" s="170" t="s">
        <v>171</v>
      </c>
      <c r="D29" s="443" t="s">
        <v>408</v>
      </c>
      <c r="E29" s="89"/>
      <c r="F29" s="89"/>
      <c r="G29" s="178">
        <v>-435000</v>
      </c>
      <c r="H29" s="178"/>
      <c r="I29" s="178"/>
      <c r="J29" s="178">
        <v>-663357</v>
      </c>
      <c r="K29" s="179"/>
      <c r="L29" s="179"/>
      <c r="M29" s="179"/>
      <c r="N29" s="179">
        <v>-663357</v>
      </c>
      <c r="O29" s="179"/>
      <c r="P29" s="109"/>
      <c r="Q29" s="111"/>
      <c r="R29" s="109"/>
      <c r="S29" s="109"/>
      <c r="T29" s="178">
        <v>-131320</v>
      </c>
      <c r="U29" s="178"/>
      <c r="V29" s="179"/>
      <c r="W29" s="178">
        <v>-435000</v>
      </c>
      <c r="X29" s="178"/>
      <c r="Y29" s="178"/>
      <c r="Z29" s="178"/>
      <c r="AA29" s="178">
        <v>303680</v>
      </c>
      <c r="AB29" s="109"/>
      <c r="AC29" s="111"/>
      <c r="AD29" s="111">
        <v>-69.811494252873558</v>
      </c>
      <c r="AF29" s="85">
        <v>18</v>
      </c>
      <c r="AG29" s="215" t="str">
        <f t="shared" si="0"/>
        <v/>
      </c>
    </row>
    <row r="30" spans="3:33" ht="15" x14ac:dyDescent="0.3">
      <c r="C30" s="170" t="s">
        <v>26</v>
      </c>
      <c r="D30" s="443" t="s">
        <v>409</v>
      </c>
      <c r="E30" s="89"/>
      <c r="F30" s="89"/>
      <c r="G30" s="178">
        <v>748021</v>
      </c>
      <c r="H30" s="178"/>
      <c r="I30" s="178"/>
      <c r="J30" s="178"/>
      <c r="K30" s="179"/>
      <c r="L30" s="179"/>
      <c r="M30" s="179"/>
      <c r="N30" s="179"/>
      <c r="O30" s="179"/>
      <c r="P30" s="109"/>
      <c r="Q30" s="111"/>
      <c r="R30" s="109"/>
      <c r="S30" s="109"/>
      <c r="T30" s="178">
        <v>2475762</v>
      </c>
      <c r="U30" s="178"/>
      <c r="V30" s="179"/>
      <c r="W30" s="178">
        <v>748021</v>
      </c>
      <c r="X30" s="178"/>
      <c r="Y30" s="178"/>
      <c r="Z30" s="178"/>
      <c r="AA30" s="178">
        <v>1727741</v>
      </c>
      <c r="AB30" s="109"/>
      <c r="AC30" s="111"/>
      <c r="AD30" s="111">
        <v>230.97493252194792</v>
      </c>
      <c r="AG30" s="215" t="str">
        <f t="shared" si="0"/>
        <v/>
      </c>
    </row>
    <row r="31" spans="3:33" ht="15" x14ac:dyDescent="0.3">
      <c r="C31" s="88" t="s">
        <v>27</v>
      </c>
      <c r="D31" s="443">
        <v>72</v>
      </c>
      <c r="E31" s="89"/>
      <c r="F31" s="89"/>
      <c r="G31" s="178"/>
      <c r="H31" s="178"/>
      <c r="I31" s="178"/>
      <c r="J31" s="178"/>
      <c r="K31" s="179"/>
      <c r="L31" s="179"/>
      <c r="M31" s="179"/>
      <c r="N31" s="179"/>
      <c r="O31" s="179"/>
      <c r="P31" s="109"/>
      <c r="Q31" s="111"/>
      <c r="R31" s="109"/>
      <c r="S31" s="109"/>
      <c r="T31" s="178"/>
      <c r="U31" s="178"/>
      <c r="V31" s="179"/>
      <c r="W31" s="178"/>
      <c r="X31" s="178"/>
      <c r="Y31" s="178"/>
      <c r="Z31" s="178"/>
      <c r="AA31" s="178"/>
      <c r="AB31" s="109"/>
      <c r="AC31" s="111"/>
      <c r="AD31" s="111"/>
      <c r="AG31" s="215" t="str">
        <f t="shared" si="0"/>
        <v/>
      </c>
    </row>
    <row r="32" spans="3:33" ht="15" x14ac:dyDescent="0.3">
      <c r="C32" s="88" t="s">
        <v>28</v>
      </c>
      <c r="D32" s="443" t="s">
        <v>410</v>
      </c>
      <c r="E32" s="89"/>
      <c r="F32" s="89"/>
      <c r="G32" s="178">
        <v>313021</v>
      </c>
      <c r="H32" s="178"/>
      <c r="I32" s="178"/>
      <c r="J32" s="178"/>
      <c r="K32" s="179"/>
      <c r="L32" s="179"/>
      <c r="M32" s="179"/>
      <c r="N32" s="179"/>
      <c r="O32" s="179"/>
      <c r="P32" s="109"/>
      <c r="Q32" s="111"/>
      <c r="R32" s="109"/>
      <c r="S32" s="109"/>
      <c r="T32" s="178">
        <v>2344442</v>
      </c>
      <c r="U32" s="178"/>
      <c r="V32" s="179"/>
      <c r="W32" s="178">
        <v>313021</v>
      </c>
      <c r="X32" s="178"/>
      <c r="Y32" s="178"/>
      <c r="Z32" s="178"/>
      <c r="AA32" s="178">
        <v>2031421</v>
      </c>
      <c r="AB32" s="109"/>
      <c r="AC32" s="111"/>
      <c r="AD32" s="111">
        <v>648.97275262682058</v>
      </c>
      <c r="AG32" s="215" t="str">
        <f t="shared" si="0"/>
        <v/>
      </c>
    </row>
    <row r="33" spans="2:33" ht="15" hidden="1" customHeight="1" x14ac:dyDescent="0.3">
      <c r="C33" s="88"/>
      <c r="D33" s="444"/>
      <c r="E33" s="89"/>
      <c r="F33" s="89"/>
      <c r="G33" s="179"/>
      <c r="H33" s="179"/>
      <c r="I33" s="179"/>
      <c r="J33" s="179"/>
      <c r="K33" s="179"/>
      <c r="L33" s="179"/>
      <c r="M33" s="179"/>
      <c r="N33" s="179"/>
      <c r="O33" s="179"/>
      <c r="P33" s="109"/>
      <c r="Q33" s="109"/>
      <c r="R33" s="109"/>
      <c r="S33" s="109"/>
      <c r="T33" s="179"/>
      <c r="U33" s="179"/>
      <c r="V33" s="179"/>
      <c r="W33" s="179"/>
      <c r="X33" s="179"/>
      <c r="Y33" s="179"/>
      <c r="Z33" s="179"/>
      <c r="AA33" s="179"/>
      <c r="AB33" s="109"/>
      <c r="AC33" s="109"/>
      <c r="AD33" s="109"/>
      <c r="AG33" s="215" t="str">
        <f t="shared" si="0"/>
        <v/>
      </c>
    </row>
    <row r="34" spans="2:33" ht="15" hidden="1" customHeight="1" x14ac:dyDescent="0.3">
      <c r="C34" s="88"/>
      <c r="D34" s="444"/>
      <c r="E34" s="89"/>
      <c r="F34" s="89"/>
      <c r="G34" s="179"/>
      <c r="H34" s="179"/>
      <c r="I34" s="179"/>
      <c r="J34" s="179"/>
      <c r="K34" s="179"/>
      <c r="L34" s="179"/>
      <c r="M34" s="179"/>
      <c r="N34" s="179"/>
      <c r="O34" s="179"/>
      <c r="P34" s="109"/>
      <c r="Q34" s="109"/>
      <c r="R34" s="109"/>
      <c r="S34" s="109"/>
      <c r="T34" s="179"/>
      <c r="U34" s="179"/>
      <c r="V34" s="179"/>
      <c r="W34" s="179"/>
      <c r="X34" s="179"/>
      <c r="Y34" s="179"/>
      <c r="Z34" s="179"/>
      <c r="AA34" s="179"/>
      <c r="AB34" s="109"/>
      <c r="AC34" s="109"/>
      <c r="AD34" s="109"/>
      <c r="AG34" s="215" t="str">
        <f t="shared" si="0"/>
        <v/>
      </c>
    </row>
    <row r="35" spans="2:33" ht="15" hidden="1" customHeight="1" x14ac:dyDescent="0.3">
      <c r="C35" s="88"/>
      <c r="D35" s="444"/>
      <c r="E35" s="89"/>
      <c r="F35" s="89"/>
      <c r="G35" s="179"/>
      <c r="H35" s="179"/>
      <c r="I35" s="179"/>
      <c r="J35" s="179"/>
      <c r="K35" s="179"/>
      <c r="L35" s="179"/>
      <c r="M35" s="179"/>
      <c r="N35" s="179"/>
      <c r="O35" s="179"/>
      <c r="P35" s="109"/>
      <c r="Q35" s="109"/>
      <c r="R35" s="109"/>
      <c r="S35" s="109"/>
      <c r="T35" s="179"/>
      <c r="U35" s="179"/>
      <c r="V35" s="179"/>
      <c r="W35" s="179"/>
      <c r="X35" s="179"/>
      <c r="Y35" s="179"/>
      <c r="Z35" s="179"/>
      <c r="AA35" s="179"/>
      <c r="AB35" s="109"/>
      <c r="AC35" s="109"/>
      <c r="AD35" s="109"/>
      <c r="AG35" s="215" t="str">
        <f t="shared" si="0"/>
        <v/>
      </c>
    </row>
    <row r="36" spans="2:33" ht="15" hidden="1" customHeight="1" x14ac:dyDescent="0.3">
      <c r="C36" s="88"/>
      <c r="D36" s="444"/>
      <c r="E36" s="89"/>
      <c r="F36" s="89"/>
      <c r="G36" s="179"/>
      <c r="H36" s="179"/>
      <c r="I36" s="179"/>
      <c r="J36" s="179"/>
      <c r="K36" s="179"/>
      <c r="L36" s="179"/>
      <c r="M36" s="179"/>
      <c r="N36" s="179"/>
      <c r="O36" s="179"/>
      <c r="P36" s="109"/>
      <c r="Q36" s="109"/>
      <c r="R36" s="109"/>
      <c r="S36" s="109"/>
      <c r="T36" s="179"/>
      <c r="U36" s="179"/>
      <c r="V36" s="179"/>
      <c r="W36" s="179"/>
      <c r="X36" s="179"/>
      <c r="Y36" s="179"/>
      <c r="Z36" s="179"/>
      <c r="AA36" s="179"/>
      <c r="AB36" s="109"/>
      <c r="AC36" s="109"/>
      <c r="AD36" s="109"/>
      <c r="AG36" s="215" t="str">
        <f t="shared" si="0"/>
        <v/>
      </c>
    </row>
    <row r="37" spans="2:33" ht="15" hidden="1" customHeight="1" x14ac:dyDescent="0.3">
      <c r="C37" s="88"/>
      <c r="D37" s="444"/>
      <c r="E37" s="89"/>
      <c r="F37" s="89"/>
      <c r="G37" s="179"/>
      <c r="H37" s="179"/>
      <c r="I37" s="179"/>
      <c r="J37" s="179"/>
      <c r="K37" s="179"/>
      <c r="L37" s="179"/>
      <c r="M37" s="179"/>
      <c r="N37" s="179"/>
      <c r="O37" s="179"/>
      <c r="P37" s="109"/>
      <c r="Q37" s="109"/>
      <c r="R37" s="109"/>
      <c r="S37" s="109"/>
      <c r="T37" s="179"/>
      <c r="U37" s="179"/>
      <c r="V37" s="179"/>
      <c r="W37" s="179"/>
      <c r="X37" s="179"/>
      <c r="Y37" s="179"/>
      <c r="Z37" s="179"/>
      <c r="AA37" s="179"/>
      <c r="AB37" s="109"/>
      <c r="AC37" s="109"/>
      <c r="AD37" s="109"/>
      <c r="AG37" s="215" t="str">
        <f t="shared" si="0"/>
        <v/>
      </c>
    </row>
    <row r="38" spans="2:33" ht="15" hidden="1" customHeight="1" x14ac:dyDescent="0.3">
      <c r="C38" s="88"/>
      <c r="D38" s="444"/>
      <c r="E38" s="89"/>
      <c r="F38" s="89"/>
      <c r="G38" s="179"/>
      <c r="H38" s="179"/>
      <c r="I38" s="179"/>
      <c r="J38" s="179"/>
      <c r="K38" s="179"/>
      <c r="L38" s="179"/>
      <c r="M38" s="179"/>
      <c r="N38" s="179"/>
      <c r="O38" s="179"/>
      <c r="P38" s="109"/>
      <c r="Q38" s="109"/>
      <c r="R38" s="109"/>
      <c r="S38" s="109"/>
      <c r="T38" s="179"/>
      <c r="U38" s="179"/>
      <c r="V38" s="179"/>
      <c r="W38" s="179"/>
      <c r="X38" s="179"/>
      <c r="Y38" s="179"/>
      <c r="Z38" s="179"/>
      <c r="AA38" s="179"/>
      <c r="AB38" s="109"/>
      <c r="AC38" s="109"/>
      <c r="AD38" s="109"/>
      <c r="AG38" s="215" t="str">
        <f t="shared" si="0"/>
        <v/>
      </c>
    </row>
    <row r="39" spans="2:33" ht="15" hidden="1" customHeight="1" x14ac:dyDescent="0.3">
      <c r="C39" s="88"/>
      <c r="D39" s="444"/>
      <c r="E39" s="89"/>
      <c r="F39" s="89"/>
      <c r="G39" s="179"/>
      <c r="H39" s="179"/>
      <c r="I39" s="179"/>
      <c r="J39" s="179"/>
      <c r="K39" s="179"/>
      <c r="L39" s="179"/>
      <c r="M39" s="179"/>
      <c r="N39" s="179"/>
      <c r="O39" s="179"/>
      <c r="P39" s="109"/>
      <c r="Q39" s="109"/>
      <c r="R39" s="109"/>
      <c r="S39" s="109"/>
      <c r="T39" s="179"/>
      <c r="U39" s="179"/>
      <c r="V39" s="179"/>
      <c r="W39" s="179"/>
      <c r="X39" s="179"/>
      <c r="Y39" s="179"/>
      <c r="Z39" s="179"/>
      <c r="AA39" s="179"/>
      <c r="AB39" s="109"/>
      <c r="AC39" s="109"/>
      <c r="AD39" s="109"/>
      <c r="AG39" s="215" t="str">
        <f t="shared" si="0"/>
        <v/>
      </c>
    </row>
    <row r="40" spans="2:33" ht="15" hidden="1" customHeight="1" x14ac:dyDescent="0.3">
      <c r="C40" s="88"/>
      <c r="D40" s="444"/>
      <c r="E40" s="89"/>
      <c r="F40" s="89"/>
      <c r="G40" s="179"/>
      <c r="H40" s="179"/>
      <c r="I40" s="179"/>
      <c r="J40" s="179"/>
      <c r="K40" s="179"/>
      <c r="L40" s="179"/>
      <c r="M40" s="179"/>
      <c r="N40" s="179"/>
      <c r="O40" s="179"/>
      <c r="P40" s="109"/>
      <c r="Q40" s="109"/>
      <c r="R40" s="109"/>
      <c r="S40" s="109"/>
      <c r="T40" s="179"/>
      <c r="U40" s="179"/>
      <c r="V40" s="179"/>
      <c r="W40" s="179"/>
      <c r="X40" s="179"/>
      <c r="Y40" s="179"/>
      <c r="Z40" s="179"/>
      <c r="AA40" s="179"/>
      <c r="AB40" s="109"/>
      <c r="AC40" s="109"/>
      <c r="AD40" s="109"/>
      <c r="AG40" s="215" t="str">
        <f t="shared" si="0"/>
        <v/>
      </c>
    </row>
    <row r="41" spans="2:33" ht="15" hidden="1" customHeight="1" x14ac:dyDescent="0.3">
      <c r="C41" s="88"/>
      <c r="D41" s="444"/>
      <c r="E41" s="89"/>
      <c r="F41" s="89"/>
      <c r="G41" s="179"/>
      <c r="H41" s="179"/>
      <c r="I41" s="179"/>
      <c r="J41" s="179"/>
      <c r="K41" s="179"/>
      <c r="L41" s="179"/>
      <c r="M41" s="179"/>
      <c r="N41" s="179"/>
      <c r="O41" s="179"/>
      <c r="P41" s="109"/>
      <c r="Q41" s="109"/>
      <c r="R41" s="109"/>
      <c r="S41" s="109"/>
      <c r="T41" s="179"/>
      <c r="U41" s="179"/>
      <c r="V41" s="179"/>
      <c r="W41" s="179"/>
      <c r="X41" s="179"/>
      <c r="Y41" s="179"/>
      <c r="Z41" s="179"/>
      <c r="AA41" s="179"/>
      <c r="AB41" s="109"/>
      <c r="AC41" s="109"/>
      <c r="AD41" s="109"/>
      <c r="AG41" s="215" t="str">
        <f t="shared" si="0"/>
        <v/>
      </c>
    </row>
    <row r="42" spans="2:33" ht="15" hidden="1" customHeight="1" x14ac:dyDescent="0.3">
      <c r="C42" s="88"/>
      <c r="D42" s="444"/>
      <c r="E42" s="89"/>
      <c r="F42" s="89"/>
      <c r="G42" s="179"/>
      <c r="H42" s="179"/>
      <c r="I42" s="179"/>
      <c r="J42" s="179"/>
      <c r="K42" s="179"/>
      <c r="L42" s="179"/>
      <c r="M42" s="179"/>
      <c r="N42" s="179"/>
      <c r="O42" s="179"/>
      <c r="P42" s="109"/>
      <c r="Q42" s="109"/>
      <c r="R42" s="109"/>
      <c r="S42" s="109"/>
      <c r="T42" s="179"/>
      <c r="U42" s="179"/>
      <c r="V42" s="179"/>
      <c r="W42" s="179"/>
      <c r="X42" s="179"/>
      <c r="Y42" s="179"/>
      <c r="Z42" s="179"/>
      <c r="AA42" s="179"/>
      <c r="AB42" s="109"/>
      <c r="AC42" s="109"/>
      <c r="AD42" s="109"/>
      <c r="AG42" s="215" t="str">
        <f t="shared" si="0"/>
        <v/>
      </c>
    </row>
    <row r="43" spans="2:33" ht="15" hidden="1" customHeight="1" x14ac:dyDescent="0.3">
      <c r="C43" s="88"/>
      <c r="D43" s="444"/>
      <c r="E43" s="89"/>
      <c r="F43" s="89"/>
      <c r="G43" s="179"/>
      <c r="H43" s="179"/>
      <c r="I43" s="179"/>
      <c r="J43" s="179"/>
      <c r="K43" s="179"/>
      <c r="L43" s="179"/>
      <c r="M43" s="179"/>
      <c r="N43" s="179"/>
      <c r="O43" s="179"/>
      <c r="P43" s="109"/>
      <c r="Q43" s="109"/>
      <c r="R43" s="109"/>
      <c r="S43" s="109"/>
      <c r="T43" s="179"/>
      <c r="U43" s="179"/>
      <c r="V43" s="179"/>
      <c r="W43" s="179"/>
      <c r="X43" s="179"/>
      <c r="Y43" s="179"/>
      <c r="Z43" s="179"/>
      <c r="AA43" s="179"/>
      <c r="AB43" s="109"/>
      <c r="AC43" s="109"/>
      <c r="AD43" s="109"/>
      <c r="AG43" s="215" t="str">
        <f t="shared" si="0"/>
        <v/>
      </c>
    </row>
    <row r="44" spans="2:33" ht="15" x14ac:dyDescent="0.3">
      <c r="C44" s="88"/>
      <c r="D44" s="444"/>
      <c r="E44" s="89"/>
      <c r="F44" s="89"/>
      <c r="G44" s="179"/>
      <c r="H44" s="179"/>
      <c r="I44" s="179"/>
      <c r="J44" s="179"/>
      <c r="K44" s="179"/>
      <c r="L44" s="179"/>
      <c r="M44" s="179"/>
      <c r="N44" s="179"/>
      <c r="O44" s="179"/>
      <c r="P44" s="109"/>
      <c r="Q44" s="109"/>
      <c r="R44" s="109"/>
      <c r="S44" s="109"/>
      <c r="T44" s="179"/>
      <c r="U44" s="179"/>
      <c r="V44" s="179"/>
      <c r="W44" s="179"/>
      <c r="X44" s="179"/>
      <c r="Y44" s="179"/>
      <c r="Z44" s="179"/>
      <c r="AA44" s="179"/>
      <c r="AB44" s="109"/>
      <c r="AC44" s="109"/>
      <c r="AD44" s="109"/>
      <c r="AG44" s="215" t="str">
        <f t="shared" si="0"/>
        <v/>
      </c>
    </row>
    <row r="45" spans="2:33" ht="15" x14ac:dyDescent="0.25">
      <c r="C45" s="172"/>
      <c r="D45" s="445"/>
      <c r="E45" s="173"/>
      <c r="F45" s="173"/>
      <c r="G45" s="180"/>
      <c r="H45" s="180"/>
      <c r="I45" s="180"/>
      <c r="J45" s="180"/>
      <c r="K45" s="180"/>
      <c r="L45" s="180"/>
      <c r="M45" s="180"/>
      <c r="N45" s="180"/>
      <c r="O45" s="180"/>
      <c r="P45" s="112"/>
      <c r="Q45" s="112"/>
      <c r="R45" s="112"/>
      <c r="S45" s="112"/>
      <c r="T45" s="180"/>
      <c r="U45" s="180"/>
      <c r="V45" s="180"/>
      <c r="W45" s="180"/>
      <c r="X45" s="180"/>
      <c r="Y45" s="180"/>
      <c r="Z45" s="180"/>
      <c r="AA45" s="180"/>
      <c r="AB45" s="112"/>
      <c r="AC45" s="112"/>
      <c r="AD45" s="112"/>
      <c r="AG45" s="215" t="str">
        <f t="shared" si="0"/>
        <v/>
      </c>
    </row>
    <row r="46" spans="2:33" ht="7.5" customHeight="1" x14ac:dyDescent="0.25"/>
    <row r="47" spans="2:33" ht="12" customHeight="1" x14ac:dyDescent="0.25">
      <c r="B47" s="171"/>
    </row>
    <row r="48" spans="2:33" ht="43.5" customHeight="1" x14ac:dyDescent="0.25"/>
  </sheetData>
  <sortState ref="A16:AM49">
    <sortCondition ref="AF16:AF49"/>
  </sortState>
  <mergeCells count="24">
    <mergeCell ref="J12:J15"/>
    <mergeCell ref="N12:R13"/>
    <mergeCell ref="N14:N15"/>
    <mergeCell ref="AE1:AI2"/>
    <mergeCell ref="B4:AD4"/>
    <mergeCell ref="C5:AD6"/>
    <mergeCell ref="Y7:AD7"/>
    <mergeCell ref="C2:AD3"/>
    <mergeCell ref="C12:C15"/>
    <mergeCell ref="D12:D15"/>
    <mergeCell ref="W12:Y15"/>
    <mergeCell ref="AD14:AD15"/>
    <mergeCell ref="C9:D10"/>
    <mergeCell ref="T9:AD10"/>
    <mergeCell ref="O14:O15"/>
    <mergeCell ref="Q14:R15"/>
    <mergeCell ref="AA12:AD13"/>
    <mergeCell ref="G9:G15"/>
    <mergeCell ref="AA14:AA15"/>
    <mergeCell ref="U13:U14"/>
    <mergeCell ref="K12:K15"/>
    <mergeCell ref="T12:T15"/>
    <mergeCell ref="M12:M15"/>
    <mergeCell ref="J9:Q10"/>
  </mergeCells>
  <phoneticPr fontId="9" type="noConversion"/>
  <conditionalFormatting sqref="T16:T25">
    <cfRule type="expression" dxfId="13" priority="12">
      <formula>AND(T16&gt;0,W16=0)</formula>
    </cfRule>
  </conditionalFormatting>
  <conditionalFormatting sqref="T20">
    <cfRule type="expression" dxfId="12" priority="7">
      <formula>AND(T20&gt;0,W20=0)</formula>
    </cfRule>
  </conditionalFormatting>
  <conditionalFormatting sqref="W20">
    <cfRule type="expression" dxfId="11" priority="6">
      <formula>AND(W20&gt;0,Z20=0)</formula>
    </cfRule>
  </conditionalFormatting>
  <conditionalFormatting sqref="W20">
    <cfRule type="expression" dxfId="10" priority="5">
      <formula>AND(W20&gt;0,Z20=0)</formula>
    </cfRule>
  </conditionalFormatting>
  <conditionalFormatting sqref="T16:T25">
    <cfRule type="expression" dxfId="9" priority="4">
      <formula>AND(T16&gt;0,W16=0)</formula>
    </cfRule>
  </conditionalFormatting>
  <conditionalFormatting sqref="T20">
    <cfRule type="expression" dxfId="8" priority="3">
      <formula>AND(T20&gt;0,W20=0)</formula>
    </cfRule>
  </conditionalFormatting>
  <conditionalFormatting sqref="W20">
    <cfRule type="expression" dxfId="7" priority="2">
      <formula>AND(W20&gt;0,Z20=0)</formula>
    </cfRule>
  </conditionalFormatting>
  <conditionalFormatting sqref="W20">
    <cfRule type="expression" dxfId="6" priority="1">
      <formula>AND(W20&gt;0,Z20=0)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49"/>
  <sheetViews>
    <sheetView showGridLines="0" showZeros="0" showOutlineSymbols="0" view="pageBreakPreview" topLeftCell="A9" zoomScaleSheetLayoutView="100" workbookViewId="0">
      <selection activeCell="T25" sqref="T25"/>
    </sheetView>
  </sheetViews>
  <sheetFormatPr defaultColWidth="6.88671875" defaultRowHeight="13.2" x14ac:dyDescent="0.25"/>
  <cols>
    <col min="1" max="2" width="3.109375" customWidth="1"/>
    <col min="3" max="3" width="1.109375" customWidth="1"/>
    <col min="4" max="4" width="2.44140625" customWidth="1"/>
    <col min="5" max="5" width="26.33203125" customWidth="1"/>
    <col min="6" max="6" width="8.109375" customWidth="1"/>
    <col min="7" max="7" width="8.109375" hidden="1" customWidth="1"/>
    <col min="8" max="8" width="14.44140625" customWidth="1"/>
    <col min="9" max="9" width="10.44140625" customWidth="1"/>
    <col min="10" max="10" width="2" customWidth="1"/>
    <col min="11" max="11" width="1.33203125" customWidth="1"/>
    <col min="12" max="13" width="1.5546875" customWidth="1"/>
    <col min="14" max="14" width="1.44140625" customWidth="1"/>
    <col min="15" max="15" width="28" customWidth="1"/>
    <col min="16" max="16" width="28" hidden="1" customWidth="1"/>
    <col min="17" max="17" width="8.88671875" customWidth="1"/>
    <col min="18" max="19" width="8.88671875" hidden="1" customWidth="1"/>
    <col min="20" max="20" width="6.5546875" customWidth="1"/>
    <col min="21" max="21" width="6.33203125" customWidth="1"/>
    <col min="22" max="22" width="9" customWidth="1"/>
  </cols>
  <sheetData>
    <row r="1" spans="1:22" ht="15" hidden="1" customHeight="1" x14ac:dyDescent="0.25"/>
    <row r="2" spans="1:22" ht="22.2" x14ac:dyDescent="0.25">
      <c r="A2" s="621" t="str">
        <f>封面!$A$4</f>
        <v>彰化縣地方教育發展基金－彰化縣秀水鄉馬興國民小學</v>
      </c>
      <c r="B2" s="621"/>
      <c r="C2" s="621"/>
      <c r="D2" s="621"/>
      <c r="E2" s="621"/>
      <c r="F2" s="621"/>
      <c r="G2" s="621"/>
      <c r="H2" s="621"/>
      <c r="I2" s="621"/>
      <c r="J2" s="621"/>
      <c r="K2" s="621"/>
      <c r="L2" s="621"/>
      <c r="M2" s="621"/>
      <c r="N2" s="621"/>
      <c r="O2" s="621"/>
      <c r="P2" s="621"/>
      <c r="Q2" s="621"/>
      <c r="R2" s="621"/>
      <c r="S2" s="621"/>
      <c r="T2" s="621"/>
      <c r="U2" s="621"/>
      <c r="V2" s="621"/>
    </row>
    <row r="3" spans="1:22" ht="22.2" x14ac:dyDescent="0.25">
      <c r="A3" s="623" t="s">
        <v>0</v>
      </c>
      <c r="B3" s="623"/>
      <c r="C3" s="623"/>
      <c r="D3" s="623"/>
      <c r="E3" s="623"/>
      <c r="F3" s="623"/>
      <c r="G3" s="623"/>
      <c r="H3" s="623"/>
      <c r="I3" s="623"/>
      <c r="J3" s="623"/>
      <c r="K3" s="623"/>
      <c r="L3" s="623"/>
      <c r="M3" s="623"/>
      <c r="N3" s="623"/>
      <c r="O3" s="623"/>
      <c r="P3" s="623"/>
      <c r="Q3" s="623"/>
      <c r="R3" s="623"/>
      <c r="S3" s="623"/>
      <c r="T3" s="623"/>
      <c r="U3" s="623"/>
      <c r="V3" s="623"/>
    </row>
    <row r="4" spans="1:22" ht="19.8" x14ac:dyDescent="0.25">
      <c r="A4" s="624" t="str">
        <f>封面!$E$10&amp;封面!$H$10&amp;封面!$I$10&amp;封面!$J$10&amp;封面!$K$10&amp;封面!$O$10&amp;"日"</f>
        <v>中華民國110年12月31日</v>
      </c>
      <c r="B4" s="624"/>
      <c r="C4" s="624"/>
      <c r="D4" s="624"/>
      <c r="E4" s="624"/>
      <c r="F4" s="624"/>
      <c r="G4" s="624"/>
      <c r="H4" s="624"/>
      <c r="I4" s="624"/>
      <c r="J4" s="624"/>
      <c r="K4" s="624"/>
      <c r="L4" s="624"/>
      <c r="M4" s="624"/>
      <c r="N4" s="624"/>
      <c r="O4" s="624"/>
      <c r="P4" s="624"/>
      <c r="Q4" s="624"/>
      <c r="R4" s="624"/>
      <c r="S4" s="624"/>
      <c r="T4" s="624"/>
      <c r="U4" s="624"/>
      <c r="V4" s="624"/>
    </row>
    <row r="5" spans="1:22" ht="2.25" customHeight="1" x14ac:dyDescent="0.25"/>
    <row r="6" spans="1:22" ht="15.75" customHeight="1" x14ac:dyDescent="0.25">
      <c r="A6" s="622" t="s">
        <v>1</v>
      </c>
      <c r="B6" s="622"/>
      <c r="C6" s="622"/>
      <c r="D6" s="622"/>
      <c r="E6" s="622"/>
      <c r="F6" s="622"/>
      <c r="G6" s="622"/>
      <c r="H6" s="622"/>
      <c r="I6" s="622"/>
      <c r="J6" s="622"/>
      <c r="K6" s="622"/>
      <c r="L6" s="622"/>
      <c r="M6" s="622"/>
      <c r="N6" s="622"/>
      <c r="O6" s="622"/>
      <c r="P6" s="622"/>
      <c r="Q6" s="622"/>
      <c r="R6" s="622"/>
      <c r="S6" s="622"/>
      <c r="T6" s="622"/>
      <c r="U6" s="622"/>
      <c r="V6" s="622"/>
    </row>
    <row r="7" spans="1:22" ht="2.25" customHeight="1" x14ac:dyDescent="0.25">
      <c r="A7" s="2"/>
      <c r="B7" s="2"/>
      <c r="C7" s="2"/>
      <c r="D7" s="2"/>
      <c r="E7" s="2"/>
      <c r="F7" s="2"/>
      <c r="G7" s="348"/>
      <c r="K7" s="2"/>
      <c r="L7" s="2"/>
      <c r="M7" s="2"/>
      <c r="N7" s="2"/>
      <c r="O7" s="2"/>
      <c r="P7" s="2"/>
      <c r="Q7" s="2"/>
      <c r="R7" s="348"/>
      <c r="S7" s="348"/>
      <c r="T7" s="348"/>
    </row>
    <row r="8" spans="1:22" ht="4.5" hidden="1" customHeight="1" x14ac:dyDescent="0.25">
      <c r="A8" s="625" t="s">
        <v>2</v>
      </c>
      <c r="B8" s="625"/>
      <c r="C8" s="625"/>
      <c r="D8" s="625"/>
      <c r="E8" s="625"/>
      <c r="F8" s="625"/>
      <c r="G8" s="338"/>
      <c r="H8" s="1"/>
      <c r="I8" s="1"/>
      <c r="J8" s="463"/>
      <c r="K8" s="626" t="s">
        <v>3</v>
      </c>
      <c r="L8" s="626"/>
      <c r="M8" s="626"/>
      <c r="N8" s="626"/>
      <c r="O8" s="626"/>
      <c r="P8" s="626"/>
      <c r="Q8" s="627"/>
      <c r="R8" s="338"/>
      <c r="S8" s="338"/>
      <c r="T8" s="338"/>
      <c r="U8" s="1"/>
      <c r="V8" s="1"/>
    </row>
    <row r="9" spans="1:22" ht="18" customHeight="1" x14ac:dyDescent="0.25">
      <c r="A9" s="625"/>
      <c r="B9" s="625"/>
      <c r="C9" s="625"/>
      <c r="D9" s="625"/>
      <c r="E9" s="625"/>
      <c r="F9" s="625"/>
      <c r="G9" s="338"/>
      <c r="H9" s="625" t="s">
        <v>4</v>
      </c>
      <c r="I9" s="625" t="s">
        <v>5</v>
      </c>
      <c r="J9" s="463"/>
      <c r="K9" s="626"/>
      <c r="L9" s="626"/>
      <c r="M9" s="626"/>
      <c r="N9" s="626"/>
      <c r="O9" s="626"/>
      <c r="P9" s="626"/>
      <c r="Q9" s="627"/>
      <c r="R9" s="338"/>
      <c r="S9" s="338"/>
      <c r="T9" s="630" t="s">
        <v>4</v>
      </c>
      <c r="U9" s="631"/>
      <c r="V9" s="625" t="s">
        <v>5</v>
      </c>
    </row>
    <row r="10" spans="1:22" ht="15" hidden="1" customHeight="1" x14ac:dyDescent="0.25">
      <c r="A10" s="1"/>
      <c r="B10" s="1"/>
      <c r="C10" s="1"/>
      <c r="D10" s="1"/>
      <c r="E10" s="1"/>
      <c r="F10" s="1"/>
      <c r="G10" s="1"/>
      <c r="H10" s="625"/>
      <c r="I10" s="625"/>
      <c r="J10" s="1"/>
      <c r="K10" s="1"/>
      <c r="L10" s="1"/>
      <c r="M10" s="1"/>
      <c r="N10" s="1"/>
      <c r="O10" s="1"/>
      <c r="P10" s="1"/>
      <c r="Q10" s="1"/>
      <c r="R10" s="1"/>
      <c r="S10" s="1"/>
      <c r="T10" s="632"/>
      <c r="U10" s="632"/>
      <c r="V10" s="625"/>
    </row>
    <row r="11" spans="1:22" ht="18" customHeight="1" x14ac:dyDescent="0.25">
      <c r="A11" s="625" t="s">
        <v>6</v>
      </c>
      <c r="B11" s="625"/>
      <c r="C11" s="625"/>
      <c r="D11" s="625"/>
      <c r="E11" s="625"/>
      <c r="F11" s="625" t="s">
        <v>7</v>
      </c>
      <c r="G11" s="338"/>
      <c r="H11" s="625"/>
      <c r="I11" s="625"/>
      <c r="J11" s="463"/>
      <c r="K11" s="626" t="s">
        <v>6</v>
      </c>
      <c r="L11" s="626"/>
      <c r="M11" s="626"/>
      <c r="N11" s="626"/>
      <c r="O11" s="627"/>
      <c r="P11" s="338"/>
      <c r="Q11" s="625" t="s">
        <v>7</v>
      </c>
      <c r="R11" s="338"/>
      <c r="S11" s="338"/>
      <c r="T11" s="633"/>
      <c r="U11" s="633"/>
      <c r="V11" s="625"/>
    </row>
    <row r="12" spans="1:22" ht="13.8" hidden="1" x14ac:dyDescent="0.25">
      <c r="A12" s="625"/>
      <c r="B12" s="625"/>
      <c r="C12" s="625"/>
      <c r="D12" s="625"/>
      <c r="E12" s="625"/>
      <c r="F12" s="625"/>
      <c r="G12" s="338"/>
      <c r="H12" s="1"/>
      <c r="I12" s="1"/>
      <c r="J12" s="463"/>
      <c r="K12" s="626"/>
      <c r="L12" s="626"/>
      <c r="M12" s="626"/>
      <c r="N12" s="626"/>
      <c r="O12" s="627"/>
      <c r="P12" s="338"/>
      <c r="Q12" s="625"/>
      <c r="R12" s="338"/>
      <c r="S12" s="338"/>
      <c r="T12" s="338"/>
      <c r="U12" s="1"/>
      <c r="V12" s="1"/>
    </row>
    <row r="13" spans="1:22" ht="14.25" customHeight="1" x14ac:dyDescent="0.25">
      <c r="A13" s="123" t="s">
        <v>465</v>
      </c>
      <c r="B13" s="124"/>
      <c r="C13" s="401"/>
      <c r="D13" s="401"/>
      <c r="E13" s="402"/>
      <c r="F13" s="126" t="s">
        <v>466</v>
      </c>
      <c r="G13" s="126"/>
      <c r="H13" s="127">
        <v>113965511</v>
      </c>
      <c r="I13" s="334">
        <v>100</v>
      </c>
      <c r="J13" s="464"/>
      <c r="K13" s="124" t="s">
        <v>508</v>
      </c>
      <c r="L13" s="124"/>
      <c r="M13" s="124"/>
      <c r="N13" s="124"/>
      <c r="O13" s="125"/>
      <c r="P13" s="125"/>
      <c r="Q13" s="128" t="s">
        <v>517</v>
      </c>
      <c r="R13" s="126"/>
      <c r="S13" s="126"/>
      <c r="T13" s="617">
        <v>71433830</v>
      </c>
      <c r="U13" s="618"/>
      <c r="V13" s="507">
        <v>62.680217351019465</v>
      </c>
    </row>
    <row r="14" spans="1:22" ht="14.25" customHeight="1" x14ac:dyDescent="0.25">
      <c r="A14" s="347"/>
      <c r="B14" s="130" t="s">
        <v>467</v>
      </c>
      <c r="C14" s="383"/>
      <c r="D14" s="383"/>
      <c r="E14" s="384"/>
      <c r="F14" s="136" t="s">
        <v>468</v>
      </c>
      <c r="G14" s="136"/>
      <c r="H14" s="133">
        <v>73778272</v>
      </c>
      <c r="I14" s="335">
        <v>64.737367781380811</v>
      </c>
      <c r="J14" s="140"/>
      <c r="K14" s="130"/>
      <c r="L14" s="130" t="s">
        <v>509</v>
      </c>
      <c r="M14" s="130"/>
      <c r="N14" s="130"/>
      <c r="O14" s="131"/>
      <c r="P14" s="131"/>
      <c r="Q14" s="134" t="s">
        <v>518</v>
      </c>
      <c r="R14" s="136"/>
      <c r="S14" s="136"/>
      <c r="T14" s="619">
        <v>66122215</v>
      </c>
      <c r="U14" s="620"/>
      <c r="V14" s="508">
        <v>58.019495915742439</v>
      </c>
    </row>
    <row r="15" spans="1:22" ht="14.25" customHeight="1" x14ac:dyDescent="0.25">
      <c r="A15" s="347"/>
      <c r="B15" s="130"/>
      <c r="C15" s="383" t="s">
        <v>469</v>
      </c>
      <c r="D15" s="383"/>
      <c r="E15" s="384"/>
      <c r="F15" s="136" t="s">
        <v>470</v>
      </c>
      <c r="G15" s="136"/>
      <c r="H15" s="133">
        <v>73778272</v>
      </c>
      <c r="I15" s="335">
        <v>64.737367781380811</v>
      </c>
      <c r="J15" s="140"/>
      <c r="K15" s="130"/>
      <c r="L15" s="130"/>
      <c r="M15" s="130" t="s">
        <v>510</v>
      </c>
      <c r="N15" s="130"/>
      <c r="O15" s="131"/>
      <c r="P15" s="131"/>
      <c r="Q15" s="134" t="s">
        <v>519</v>
      </c>
      <c r="R15" s="136"/>
      <c r="S15" s="136"/>
      <c r="T15" s="619">
        <v>66122215</v>
      </c>
      <c r="U15" s="620"/>
      <c r="V15" s="508">
        <v>58.019495915742439</v>
      </c>
    </row>
    <row r="16" spans="1:22" ht="14.25" customHeight="1" x14ac:dyDescent="0.25">
      <c r="A16" s="347"/>
      <c r="B16" s="130"/>
      <c r="C16" s="383"/>
      <c r="D16" s="383" t="s">
        <v>471</v>
      </c>
      <c r="E16" s="384"/>
      <c r="F16" s="136" t="s">
        <v>472</v>
      </c>
      <c r="G16" s="136"/>
      <c r="H16" s="133">
        <v>73778272</v>
      </c>
      <c r="I16" s="335">
        <v>64.737367781380811</v>
      </c>
      <c r="J16" s="140"/>
      <c r="K16" s="130"/>
      <c r="L16" s="130"/>
      <c r="M16" s="130"/>
      <c r="N16" s="130" t="s">
        <v>511</v>
      </c>
      <c r="O16" s="131"/>
      <c r="P16" s="131"/>
      <c r="Q16" s="134" t="s">
        <v>520</v>
      </c>
      <c r="R16" s="136"/>
      <c r="S16" s="136"/>
      <c r="T16" s="619">
        <v>66122215</v>
      </c>
      <c r="U16" s="620"/>
      <c r="V16" s="508">
        <v>58.019495915742439</v>
      </c>
    </row>
    <row r="17" spans="1:22" ht="14.25" customHeight="1" x14ac:dyDescent="0.25">
      <c r="A17" s="347"/>
      <c r="B17" s="130"/>
      <c r="C17" s="383"/>
      <c r="D17" s="383"/>
      <c r="E17" s="384" t="s">
        <v>473</v>
      </c>
      <c r="F17" s="136" t="s">
        <v>474</v>
      </c>
      <c r="G17" s="136"/>
      <c r="H17" s="133">
        <v>2344442</v>
      </c>
      <c r="I17" s="335">
        <v>2.0571504303613399</v>
      </c>
      <c r="J17" s="140"/>
      <c r="K17" s="130"/>
      <c r="L17" s="130" t="s">
        <v>512</v>
      </c>
      <c r="M17" s="130"/>
      <c r="N17" s="130"/>
      <c r="O17" s="131"/>
      <c r="P17" s="131"/>
      <c r="Q17" s="134" t="s">
        <v>521</v>
      </c>
      <c r="R17" s="136"/>
      <c r="S17" s="136"/>
      <c r="T17" s="619">
        <v>5311615</v>
      </c>
      <c r="U17" s="620"/>
      <c r="V17" s="508">
        <v>4.6607214352770283</v>
      </c>
    </row>
    <row r="18" spans="1:22" ht="14.25" customHeight="1" x14ac:dyDescent="0.25">
      <c r="A18" s="347"/>
      <c r="B18" s="130"/>
      <c r="C18" s="383"/>
      <c r="D18" s="383"/>
      <c r="E18" s="384" t="s">
        <v>475</v>
      </c>
      <c r="F18" s="136" t="s">
        <v>476</v>
      </c>
      <c r="G18" s="136"/>
      <c r="H18" s="133">
        <v>71433830</v>
      </c>
      <c r="I18" s="335">
        <v>62.680217351019465</v>
      </c>
      <c r="J18" s="140"/>
      <c r="K18" s="130"/>
      <c r="L18" s="130"/>
      <c r="M18" s="130" t="s">
        <v>513</v>
      </c>
      <c r="N18" s="130"/>
      <c r="O18" s="131"/>
      <c r="P18" s="131"/>
      <c r="Q18" s="134" t="s">
        <v>522</v>
      </c>
      <c r="R18" s="136"/>
      <c r="S18" s="136"/>
      <c r="T18" s="619">
        <v>5311615</v>
      </c>
      <c r="U18" s="620"/>
      <c r="V18" s="508">
        <v>4.6607214352770283</v>
      </c>
    </row>
    <row r="19" spans="1:22" ht="14.25" customHeight="1" x14ac:dyDescent="0.25">
      <c r="A19" s="347"/>
      <c r="B19" s="130"/>
      <c r="C19" s="383"/>
      <c r="D19" s="383" t="s">
        <v>477</v>
      </c>
      <c r="E19" s="384"/>
      <c r="F19" s="136" t="s">
        <v>478</v>
      </c>
      <c r="G19" s="136"/>
      <c r="H19" s="133">
        <v>0</v>
      </c>
      <c r="I19" s="335">
        <v>0</v>
      </c>
      <c r="J19" s="140"/>
      <c r="K19" s="130"/>
      <c r="L19" s="130"/>
      <c r="M19" s="130"/>
      <c r="N19" s="130" t="s">
        <v>514</v>
      </c>
      <c r="O19" s="131"/>
      <c r="P19" s="131"/>
      <c r="Q19" s="134" t="s">
        <v>523</v>
      </c>
      <c r="R19" s="136"/>
      <c r="S19" s="136"/>
      <c r="T19" s="619">
        <v>5311615</v>
      </c>
      <c r="U19" s="620"/>
      <c r="V19" s="508">
        <v>4.6607214352770283</v>
      </c>
    </row>
    <row r="20" spans="1:22" ht="14.25" customHeight="1" x14ac:dyDescent="0.25">
      <c r="A20" s="347"/>
      <c r="B20" s="130"/>
      <c r="C20" s="383" t="s">
        <v>479</v>
      </c>
      <c r="D20" s="383"/>
      <c r="E20" s="384"/>
      <c r="F20" s="136" t="s">
        <v>480</v>
      </c>
      <c r="G20" s="136"/>
      <c r="H20" s="133">
        <v>0</v>
      </c>
      <c r="I20" s="335">
        <v>0</v>
      </c>
      <c r="J20" s="140"/>
      <c r="K20" s="130" t="s">
        <v>796</v>
      </c>
      <c r="L20" s="130"/>
      <c r="M20" s="130"/>
      <c r="N20" s="130"/>
      <c r="O20" s="131"/>
      <c r="P20" s="131"/>
      <c r="Q20" s="134" t="s">
        <v>524</v>
      </c>
      <c r="R20" s="136"/>
      <c r="S20" s="136"/>
      <c r="T20" s="619">
        <v>42531681</v>
      </c>
      <c r="U20" s="620"/>
      <c r="V20" s="508">
        <v>37.319782648980535</v>
      </c>
    </row>
    <row r="21" spans="1:22" ht="14.25" hidden="1" customHeight="1" x14ac:dyDescent="0.25">
      <c r="A21" s="347"/>
      <c r="B21" s="130"/>
      <c r="C21" s="383"/>
      <c r="D21" s="383"/>
      <c r="E21" s="384"/>
      <c r="F21" s="136"/>
      <c r="G21" s="136"/>
      <c r="H21" s="133"/>
      <c r="I21" s="335"/>
      <c r="J21" s="140"/>
      <c r="K21" s="130"/>
      <c r="L21" s="130"/>
      <c r="M21" s="130"/>
      <c r="N21" s="130"/>
      <c r="O21" s="131"/>
      <c r="P21" s="131"/>
      <c r="Q21" s="134"/>
      <c r="R21" s="136"/>
      <c r="S21" s="136"/>
      <c r="T21" s="619">
        <v>0</v>
      </c>
      <c r="U21" s="620"/>
      <c r="V21" s="508"/>
    </row>
    <row r="22" spans="1:22" ht="14.25" customHeight="1" x14ac:dyDescent="0.25">
      <c r="A22" s="347"/>
      <c r="B22" s="130"/>
      <c r="C22" s="383"/>
      <c r="D22" s="383" t="s">
        <v>481</v>
      </c>
      <c r="E22" s="384"/>
      <c r="F22" s="136" t="s">
        <v>482</v>
      </c>
      <c r="G22" s="136"/>
      <c r="H22" s="133">
        <v>0</v>
      </c>
      <c r="I22" s="335">
        <v>0</v>
      </c>
      <c r="J22" s="140"/>
      <c r="K22" s="130"/>
      <c r="L22" s="130" t="s">
        <v>515</v>
      </c>
      <c r="M22" s="130"/>
      <c r="N22" s="130"/>
      <c r="O22" s="131"/>
      <c r="P22" s="131"/>
      <c r="Q22" s="134" t="s">
        <v>525</v>
      </c>
      <c r="R22" s="136"/>
      <c r="S22" s="136"/>
      <c r="T22" s="619">
        <v>42531681</v>
      </c>
      <c r="U22" s="620"/>
      <c r="V22" s="508">
        <v>37.319782648980535</v>
      </c>
    </row>
    <row r="23" spans="1:22" ht="14.25" hidden="1" customHeight="1" x14ac:dyDescent="0.25">
      <c r="A23" s="347"/>
      <c r="B23" s="130"/>
      <c r="C23" s="130"/>
      <c r="D23" s="130"/>
      <c r="E23" s="131"/>
      <c r="F23" s="136"/>
      <c r="G23" s="136"/>
      <c r="H23" s="133"/>
      <c r="I23" s="335"/>
      <c r="J23" s="140"/>
      <c r="K23" s="130"/>
      <c r="L23" s="130"/>
      <c r="M23" s="130"/>
      <c r="N23" s="130"/>
      <c r="O23" s="131"/>
      <c r="P23" s="131"/>
      <c r="Q23" s="134"/>
      <c r="R23" s="136"/>
      <c r="S23" s="136"/>
      <c r="T23" s="619">
        <v>0</v>
      </c>
      <c r="U23" s="620"/>
      <c r="V23" s="508"/>
    </row>
    <row r="24" spans="1:22" ht="14.25" customHeight="1" x14ac:dyDescent="0.25">
      <c r="A24" s="347"/>
      <c r="B24" s="130" t="s">
        <v>797</v>
      </c>
      <c r="C24" s="130"/>
      <c r="D24" s="130"/>
      <c r="E24" s="131"/>
      <c r="F24" s="136" t="s">
        <v>483</v>
      </c>
      <c r="G24" s="136"/>
      <c r="H24" s="133">
        <v>40187239</v>
      </c>
      <c r="I24" s="335">
        <v>35.262632218619196</v>
      </c>
      <c r="J24" s="140"/>
      <c r="K24" s="130"/>
      <c r="L24" s="130"/>
      <c r="M24" s="130" t="s">
        <v>515</v>
      </c>
      <c r="N24" s="130"/>
      <c r="O24" s="131"/>
      <c r="P24" s="131"/>
      <c r="Q24" s="134" t="s">
        <v>526</v>
      </c>
      <c r="R24" s="136"/>
      <c r="S24" s="136"/>
      <c r="T24" s="619">
        <v>42531681</v>
      </c>
      <c r="U24" s="620"/>
      <c r="V24" s="508">
        <v>37.319782648980535</v>
      </c>
    </row>
    <row r="25" spans="1:22" ht="15" customHeight="1" x14ac:dyDescent="0.25">
      <c r="A25" s="129"/>
      <c r="B25" s="130"/>
      <c r="C25" s="130" t="s">
        <v>46</v>
      </c>
      <c r="D25" s="130"/>
      <c r="E25" s="131"/>
      <c r="F25" s="132" t="s">
        <v>484</v>
      </c>
      <c r="G25" s="132"/>
      <c r="H25" s="133">
        <v>11027358</v>
      </c>
      <c r="I25" s="335">
        <v>9.6760483967820754</v>
      </c>
      <c r="J25" s="140"/>
      <c r="K25" s="135"/>
      <c r="L25" s="130"/>
      <c r="M25" s="130"/>
      <c r="N25" s="130" t="s">
        <v>516</v>
      </c>
      <c r="O25" s="131"/>
      <c r="P25" s="131"/>
      <c r="Q25" s="134" t="s">
        <v>527</v>
      </c>
      <c r="R25" s="136"/>
      <c r="S25" s="136"/>
      <c r="T25" s="619">
        <v>42531681</v>
      </c>
      <c r="U25" s="620"/>
      <c r="V25" s="508">
        <v>37.319782648980535</v>
      </c>
    </row>
    <row r="26" spans="1:22" ht="15" hidden="1" customHeight="1" x14ac:dyDescent="0.25">
      <c r="A26" s="129"/>
      <c r="B26" s="130"/>
      <c r="C26" s="130"/>
      <c r="D26" s="130"/>
      <c r="E26" s="131"/>
      <c r="F26" s="132"/>
      <c r="G26" s="132"/>
      <c r="H26" s="133"/>
      <c r="I26" s="335"/>
      <c r="J26" s="140"/>
      <c r="K26" s="135"/>
      <c r="L26" s="130"/>
      <c r="M26" s="130"/>
      <c r="N26" s="130"/>
      <c r="O26" s="131"/>
      <c r="P26" s="131"/>
      <c r="Q26" s="134"/>
      <c r="R26" s="136"/>
      <c r="S26" s="136"/>
      <c r="T26" s="619">
        <v>0</v>
      </c>
      <c r="U26" s="620"/>
      <c r="V26" s="508"/>
    </row>
    <row r="27" spans="1:22" ht="15" customHeight="1" x14ac:dyDescent="0.25">
      <c r="A27" s="129"/>
      <c r="B27" s="130"/>
      <c r="C27" s="130"/>
      <c r="D27" s="130" t="s">
        <v>46</v>
      </c>
      <c r="E27" s="131"/>
      <c r="F27" s="132" t="s">
        <v>485</v>
      </c>
      <c r="G27" s="132"/>
      <c r="H27" s="133">
        <v>11027358</v>
      </c>
      <c r="I27" s="335">
        <v>9.6760483967820754</v>
      </c>
      <c r="J27" s="140"/>
      <c r="K27" s="135" t="s">
        <v>507</v>
      </c>
      <c r="L27" s="130"/>
      <c r="M27" s="130"/>
      <c r="N27" s="130"/>
      <c r="O27" s="131"/>
      <c r="P27" s="131"/>
      <c r="Q27" s="134"/>
      <c r="R27" s="136"/>
      <c r="S27" s="136"/>
      <c r="T27" s="619">
        <v>113965511</v>
      </c>
      <c r="U27" s="620"/>
      <c r="V27" s="508"/>
    </row>
    <row r="28" spans="1:22" ht="15" customHeight="1" x14ac:dyDescent="0.25">
      <c r="A28" s="129"/>
      <c r="B28" s="130"/>
      <c r="C28" s="130" t="s">
        <v>47</v>
      </c>
      <c r="D28" s="130"/>
      <c r="E28" s="131"/>
      <c r="F28" s="132" t="s">
        <v>486</v>
      </c>
      <c r="G28" s="132"/>
      <c r="H28" s="133">
        <v>3134953</v>
      </c>
      <c r="I28" s="335">
        <v>2.7507909827210795</v>
      </c>
      <c r="J28" s="140"/>
      <c r="K28" s="135"/>
      <c r="L28" s="130"/>
      <c r="M28" s="130"/>
      <c r="N28" s="130"/>
      <c r="O28" s="131"/>
      <c r="P28" s="131"/>
      <c r="Q28" s="134"/>
      <c r="R28" s="136"/>
      <c r="S28" s="136"/>
      <c r="T28" s="619">
        <f>[2]Sheet1!$T29</f>
        <v>0</v>
      </c>
      <c r="U28" s="620"/>
      <c r="V28" s="508"/>
    </row>
    <row r="29" spans="1:22" ht="15" customHeight="1" x14ac:dyDescent="0.25">
      <c r="A29" s="129"/>
      <c r="B29" s="130"/>
      <c r="C29" s="130"/>
      <c r="D29" s="130" t="s">
        <v>47</v>
      </c>
      <c r="E29" s="131"/>
      <c r="F29" s="132" t="s">
        <v>487</v>
      </c>
      <c r="G29" s="132"/>
      <c r="H29" s="133">
        <v>5137300</v>
      </c>
      <c r="I29" s="335">
        <v>4.5077672665373312</v>
      </c>
      <c r="J29" s="140"/>
      <c r="K29" s="135"/>
      <c r="L29" s="130"/>
      <c r="M29" s="130"/>
      <c r="N29" s="130"/>
      <c r="O29" s="131"/>
      <c r="P29" s="131"/>
      <c r="Q29" s="134"/>
      <c r="R29" s="136"/>
      <c r="S29" s="136"/>
      <c r="T29" s="628"/>
      <c r="U29" s="629"/>
      <c r="V29" s="508"/>
    </row>
    <row r="30" spans="1:22" ht="15" customHeight="1" x14ac:dyDescent="0.25">
      <c r="A30" s="129"/>
      <c r="B30" s="130"/>
      <c r="C30" s="130"/>
      <c r="D30" s="130" t="s">
        <v>488</v>
      </c>
      <c r="E30" s="131"/>
      <c r="F30" s="132" t="s">
        <v>489</v>
      </c>
      <c r="G30" s="132"/>
      <c r="H30" s="133">
        <v>-2002347</v>
      </c>
      <c r="I30" s="335">
        <v>-1.7569762838162504</v>
      </c>
      <c r="J30" s="140"/>
      <c r="K30" s="135"/>
      <c r="L30" s="130"/>
      <c r="M30" s="130"/>
      <c r="N30" s="130"/>
      <c r="O30" s="131"/>
      <c r="P30" s="131"/>
      <c r="Q30" s="134"/>
      <c r="R30" s="136"/>
      <c r="S30" s="136"/>
      <c r="T30" s="628"/>
      <c r="U30" s="629"/>
      <c r="V30" s="508"/>
    </row>
    <row r="31" spans="1:22" ht="15" customHeight="1" x14ac:dyDescent="0.25">
      <c r="A31" s="129"/>
      <c r="B31" s="130"/>
      <c r="C31" s="130" t="s">
        <v>490</v>
      </c>
      <c r="D31" s="130"/>
      <c r="E31" s="131"/>
      <c r="F31" s="132" t="s">
        <v>491</v>
      </c>
      <c r="G31" s="132"/>
      <c r="H31" s="133">
        <v>23444096</v>
      </c>
      <c r="I31" s="335">
        <v>20.571220007077404</v>
      </c>
      <c r="J31" s="140"/>
      <c r="K31" s="135"/>
      <c r="L31" s="130"/>
      <c r="M31" s="130"/>
      <c r="N31" s="130"/>
      <c r="O31" s="131"/>
      <c r="P31" s="131"/>
      <c r="Q31" s="134"/>
      <c r="R31" s="136"/>
      <c r="S31" s="136"/>
      <c r="T31" s="628"/>
      <c r="U31" s="629"/>
      <c r="V31" s="508"/>
    </row>
    <row r="32" spans="1:22" ht="15" hidden="1" customHeight="1" x14ac:dyDescent="0.25">
      <c r="A32" s="129"/>
      <c r="B32" s="130"/>
      <c r="C32" s="130"/>
      <c r="D32" s="130"/>
      <c r="E32" s="131"/>
      <c r="F32" s="132"/>
      <c r="G32" s="132"/>
      <c r="H32" s="133"/>
      <c r="I32" s="335"/>
      <c r="J32" s="140"/>
      <c r="K32" s="135"/>
      <c r="L32" s="130"/>
      <c r="M32" s="130"/>
      <c r="N32" s="130"/>
      <c r="O32" s="131"/>
      <c r="P32" s="131"/>
      <c r="Q32" s="134"/>
      <c r="R32" s="136"/>
      <c r="S32" s="136"/>
      <c r="T32" s="628"/>
      <c r="U32" s="629"/>
      <c r="V32" s="508"/>
    </row>
    <row r="33" spans="1:22" ht="15" customHeight="1" x14ac:dyDescent="0.25">
      <c r="A33" s="129"/>
      <c r="B33" s="130"/>
      <c r="C33" s="130"/>
      <c r="D33" s="130" t="s">
        <v>490</v>
      </c>
      <c r="E33" s="131"/>
      <c r="F33" s="132" t="s">
        <v>492</v>
      </c>
      <c r="G33" s="132"/>
      <c r="H33" s="133">
        <v>48499250</v>
      </c>
      <c r="I33" s="335">
        <v>42.556076460711004</v>
      </c>
      <c r="J33" s="140"/>
      <c r="K33" s="135"/>
      <c r="L33" s="130"/>
      <c r="M33" s="130"/>
      <c r="N33" s="130"/>
      <c r="O33" s="131"/>
      <c r="P33" s="131"/>
      <c r="Q33" s="134"/>
      <c r="R33" s="136"/>
      <c r="S33" s="136"/>
      <c r="T33" s="628"/>
      <c r="U33" s="629"/>
      <c r="V33" s="508"/>
    </row>
    <row r="34" spans="1:22" ht="15" customHeight="1" x14ac:dyDescent="0.25">
      <c r="A34" s="129"/>
      <c r="B34" s="130"/>
      <c r="C34" s="130"/>
      <c r="D34" s="130" t="s">
        <v>493</v>
      </c>
      <c r="E34" s="131"/>
      <c r="F34" s="132" t="s">
        <v>494</v>
      </c>
      <c r="G34" s="132"/>
      <c r="H34" s="133">
        <v>-25055154</v>
      </c>
      <c r="I34" s="335">
        <v>-21.984856453633594</v>
      </c>
      <c r="J34" s="140"/>
      <c r="K34" s="135"/>
      <c r="L34" s="130"/>
      <c r="M34" s="130"/>
      <c r="N34" s="130"/>
      <c r="O34" s="131"/>
      <c r="P34" s="131"/>
      <c r="Q34" s="134"/>
      <c r="R34" s="136"/>
      <c r="S34" s="136"/>
      <c r="T34" s="628"/>
      <c r="U34" s="629"/>
      <c r="V34" s="508"/>
    </row>
    <row r="35" spans="1:22" ht="15" hidden="1" customHeight="1" x14ac:dyDescent="0.25">
      <c r="A35" s="129"/>
      <c r="B35" s="130"/>
      <c r="C35" s="130"/>
      <c r="D35" s="130"/>
      <c r="E35" s="131"/>
      <c r="F35" s="132"/>
      <c r="G35" s="132"/>
      <c r="H35" s="133"/>
      <c r="I35" s="335"/>
      <c r="J35" s="140"/>
      <c r="K35" s="135"/>
      <c r="L35" s="130"/>
      <c r="M35" s="130"/>
      <c r="N35" s="130"/>
      <c r="O35" s="131"/>
      <c r="P35" s="131"/>
      <c r="Q35" s="134"/>
      <c r="R35" s="136"/>
      <c r="S35" s="136"/>
      <c r="T35" s="628"/>
      <c r="U35" s="629"/>
      <c r="V35" s="508"/>
    </row>
    <row r="36" spans="1:22" ht="14.25" customHeight="1" x14ac:dyDescent="0.25">
      <c r="A36" s="129"/>
      <c r="B36" s="135"/>
      <c r="C36" s="130" t="s">
        <v>49</v>
      </c>
      <c r="D36" s="130"/>
      <c r="E36" s="131"/>
      <c r="F36" s="136" t="s">
        <v>495</v>
      </c>
      <c r="G36" s="136"/>
      <c r="H36" s="133">
        <v>1358480</v>
      </c>
      <c r="I36" s="335">
        <v>1.192009747580564</v>
      </c>
      <c r="J36" s="140"/>
      <c r="K36" s="135"/>
      <c r="L36" s="135"/>
      <c r="M36" s="130"/>
      <c r="N36" s="130"/>
      <c r="O36" s="131"/>
      <c r="P36" s="131"/>
      <c r="Q36" s="134"/>
      <c r="R36" s="136"/>
      <c r="S36" s="136"/>
      <c r="T36" s="628"/>
      <c r="U36" s="629"/>
      <c r="V36" s="508"/>
    </row>
    <row r="37" spans="1:22" ht="14.25" customHeight="1" x14ac:dyDescent="0.25">
      <c r="A37" s="129"/>
      <c r="B37" s="135"/>
      <c r="C37" s="135"/>
      <c r="D37" s="135" t="s">
        <v>49</v>
      </c>
      <c r="E37" s="131"/>
      <c r="F37" s="136" t="s">
        <v>496</v>
      </c>
      <c r="G37" s="136"/>
      <c r="H37" s="133">
        <v>5217136</v>
      </c>
      <c r="I37" s="335">
        <v>4.5778200389063315</v>
      </c>
      <c r="J37" s="140"/>
      <c r="K37" s="135"/>
      <c r="L37" s="130"/>
      <c r="M37" s="130"/>
      <c r="N37" s="130"/>
      <c r="O37" s="131"/>
      <c r="P37" s="131"/>
      <c r="Q37" s="134"/>
      <c r="R37" s="136"/>
      <c r="S37" s="136"/>
      <c r="T37" s="628"/>
      <c r="U37" s="629"/>
      <c r="V37" s="508"/>
    </row>
    <row r="38" spans="1:22" ht="14.25" customHeight="1" x14ac:dyDescent="0.25">
      <c r="A38" s="129"/>
      <c r="B38" s="135"/>
      <c r="C38" s="135"/>
      <c r="D38" s="135" t="s">
        <v>497</v>
      </c>
      <c r="E38" s="131"/>
      <c r="F38" s="136" t="s">
        <v>498</v>
      </c>
      <c r="G38" s="136"/>
      <c r="H38" s="133">
        <v>-3858656</v>
      </c>
      <c r="I38" s="335">
        <v>-3.3858102913257682</v>
      </c>
      <c r="J38" s="140"/>
      <c r="K38" s="135"/>
      <c r="L38" s="135"/>
      <c r="M38" s="130"/>
      <c r="N38" s="130"/>
      <c r="O38" s="131"/>
      <c r="P38" s="131"/>
      <c r="Q38" s="134"/>
      <c r="R38" s="136"/>
      <c r="S38" s="136"/>
      <c r="T38" s="628"/>
      <c r="U38" s="629"/>
      <c r="V38" s="508"/>
    </row>
    <row r="39" spans="1:22" ht="14.25" customHeight="1" x14ac:dyDescent="0.25">
      <c r="A39" s="129"/>
      <c r="B39" s="135"/>
      <c r="C39" s="135" t="s">
        <v>50</v>
      </c>
      <c r="D39" s="130"/>
      <c r="E39" s="131"/>
      <c r="F39" s="136" t="s">
        <v>499</v>
      </c>
      <c r="G39" s="136"/>
      <c r="H39" s="133">
        <v>200612</v>
      </c>
      <c r="I39" s="335">
        <v>0.17602869345270605</v>
      </c>
      <c r="J39" s="140"/>
      <c r="K39" s="135"/>
      <c r="L39" s="135"/>
      <c r="M39" s="135"/>
      <c r="N39" s="130"/>
      <c r="O39" s="131"/>
      <c r="P39" s="131"/>
      <c r="Q39" s="134"/>
      <c r="R39" s="136"/>
      <c r="S39" s="136"/>
      <c r="T39" s="628"/>
      <c r="U39" s="629"/>
      <c r="V39" s="508"/>
    </row>
    <row r="40" spans="1:22" ht="14.25" customHeight="1" x14ac:dyDescent="0.25">
      <c r="A40" s="129"/>
      <c r="B40" s="135"/>
      <c r="C40" s="130"/>
      <c r="D40" s="130" t="s">
        <v>50</v>
      </c>
      <c r="E40" s="131"/>
      <c r="F40" s="136" t="s">
        <v>500</v>
      </c>
      <c r="G40" s="136"/>
      <c r="H40" s="133">
        <v>634500</v>
      </c>
      <c r="I40" s="335">
        <v>0.5567473829867704</v>
      </c>
      <c r="J40" s="140"/>
      <c r="K40" s="135"/>
      <c r="L40" s="135"/>
      <c r="M40" s="135"/>
      <c r="N40" s="130"/>
      <c r="O40" s="131"/>
      <c r="P40" s="131"/>
      <c r="Q40" s="134"/>
      <c r="R40" s="136"/>
      <c r="S40" s="136"/>
      <c r="T40" s="628"/>
      <c r="U40" s="629"/>
      <c r="V40" s="508"/>
    </row>
    <row r="41" spans="1:22" s="348" customFormat="1" ht="14.25" customHeight="1" x14ac:dyDescent="0.25">
      <c r="A41" s="129"/>
      <c r="B41" s="135"/>
      <c r="C41" s="135"/>
      <c r="D41" s="130" t="s">
        <v>501</v>
      </c>
      <c r="E41" s="131"/>
      <c r="F41" s="136" t="s">
        <v>502</v>
      </c>
      <c r="G41" s="136"/>
      <c r="H41" s="133">
        <v>-433888</v>
      </c>
      <c r="I41" s="335">
        <v>-0.38071868953406446</v>
      </c>
      <c r="J41" s="140"/>
      <c r="K41" s="137"/>
      <c r="L41" s="137"/>
      <c r="M41" s="137"/>
      <c r="N41" s="137"/>
      <c r="O41" s="138"/>
      <c r="P41" s="138"/>
      <c r="Q41" s="139"/>
      <c r="R41" s="349"/>
      <c r="S41" s="349"/>
      <c r="T41" s="628"/>
      <c r="U41" s="629"/>
      <c r="V41" s="508"/>
    </row>
    <row r="42" spans="1:22" s="348" customFormat="1" ht="15" hidden="1" customHeight="1" x14ac:dyDescent="0.25">
      <c r="A42" s="129"/>
      <c r="B42" s="137"/>
      <c r="C42" s="137"/>
      <c r="D42" s="137"/>
      <c r="E42" s="138"/>
      <c r="F42" s="132"/>
      <c r="G42" s="132"/>
      <c r="H42" s="133"/>
      <c r="I42" s="335"/>
      <c r="J42" s="140"/>
      <c r="K42" s="135"/>
      <c r="L42" s="137"/>
      <c r="M42" s="137"/>
      <c r="N42" s="137"/>
      <c r="O42" s="138"/>
      <c r="P42" s="138"/>
      <c r="Q42" s="139"/>
      <c r="R42" s="349"/>
      <c r="S42" s="349"/>
      <c r="T42" s="628"/>
      <c r="U42" s="629"/>
      <c r="V42" s="508"/>
    </row>
    <row r="43" spans="1:22" ht="14.25" customHeight="1" x14ac:dyDescent="0.25">
      <c r="A43" s="129"/>
      <c r="B43" s="137"/>
      <c r="C43" s="137" t="s">
        <v>205</v>
      </c>
      <c r="D43" s="137"/>
      <c r="E43" s="138"/>
      <c r="F43" s="140" t="s">
        <v>503</v>
      </c>
      <c r="G43" s="140"/>
      <c r="H43" s="141">
        <v>1021740</v>
      </c>
      <c r="I43" s="336">
        <v>0.89653439100536303</v>
      </c>
      <c r="J43" s="140"/>
      <c r="K43" s="135"/>
      <c r="L43" s="135"/>
      <c r="M43" s="137"/>
      <c r="N43" s="137"/>
      <c r="O43" s="138"/>
      <c r="P43" s="138"/>
      <c r="Q43" s="139"/>
      <c r="R43" s="349"/>
      <c r="S43" s="349"/>
      <c r="T43" s="628"/>
      <c r="U43" s="629"/>
      <c r="V43" s="508"/>
    </row>
    <row r="44" spans="1:22" ht="14.25" customHeight="1" x14ac:dyDescent="0.25">
      <c r="A44" s="129"/>
      <c r="B44" s="135"/>
      <c r="C44" s="130"/>
      <c r="D44" s="130" t="s">
        <v>205</v>
      </c>
      <c r="E44" s="131"/>
      <c r="F44" s="136" t="s">
        <v>504</v>
      </c>
      <c r="G44" s="136"/>
      <c r="H44" s="133">
        <v>4372279</v>
      </c>
      <c r="I44" s="335">
        <v>3.8364931299259477</v>
      </c>
      <c r="J44" s="140"/>
      <c r="K44" s="135"/>
      <c r="L44" s="135"/>
      <c r="M44" s="135"/>
      <c r="N44" s="137"/>
      <c r="O44" s="138"/>
      <c r="P44" s="138"/>
      <c r="Q44" s="139"/>
      <c r="R44" s="349"/>
      <c r="S44" s="349"/>
      <c r="T44" s="628"/>
      <c r="U44" s="629"/>
      <c r="V44" s="508"/>
    </row>
    <row r="45" spans="1:22" ht="14.25" customHeight="1" x14ac:dyDescent="0.25">
      <c r="A45" s="129"/>
      <c r="B45" s="137"/>
      <c r="C45" s="137"/>
      <c r="D45" s="137" t="s">
        <v>505</v>
      </c>
      <c r="E45" s="138"/>
      <c r="F45" s="132" t="s">
        <v>506</v>
      </c>
      <c r="G45" s="132"/>
      <c r="H45" s="133">
        <v>-3350539</v>
      </c>
      <c r="I45" s="335">
        <v>-2.9399587389205846</v>
      </c>
      <c r="J45" s="140"/>
      <c r="K45" s="135"/>
      <c r="L45" s="135"/>
      <c r="M45" s="135"/>
      <c r="N45" s="130"/>
      <c r="O45" s="131"/>
      <c r="P45" s="131"/>
      <c r="Q45" s="134"/>
      <c r="R45" s="136"/>
      <c r="S45" s="136"/>
      <c r="T45" s="628"/>
      <c r="U45" s="629"/>
      <c r="V45" s="508"/>
    </row>
    <row r="46" spans="1:22" ht="14.25" customHeight="1" x14ac:dyDescent="0.25">
      <c r="A46" s="129" t="s">
        <v>507</v>
      </c>
      <c r="B46" s="137"/>
      <c r="C46" s="137"/>
      <c r="D46" s="137"/>
      <c r="E46" s="138"/>
      <c r="F46" s="132"/>
      <c r="G46" s="132"/>
      <c r="H46" s="133">
        <v>113965511</v>
      </c>
      <c r="I46" s="336"/>
      <c r="J46" s="140"/>
      <c r="K46" s="137"/>
      <c r="L46" s="137"/>
      <c r="M46" s="137"/>
      <c r="N46" s="137"/>
      <c r="O46" s="138"/>
      <c r="P46" s="138"/>
      <c r="Q46" s="141"/>
      <c r="R46" s="140"/>
      <c r="S46" s="140"/>
      <c r="T46" s="628"/>
      <c r="U46" s="629"/>
      <c r="V46" s="508"/>
    </row>
    <row r="47" spans="1:22" ht="13.8" x14ac:dyDescent="0.25">
      <c r="A47" s="142"/>
      <c r="B47" s="143"/>
      <c r="C47" s="143"/>
      <c r="D47" s="143"/>
      <c r="E47" s="144"/>
      <c r="F47" s="145"/>
      <c r="G47" s="145"/>
      <c r="H47" s="146"/>
      <c r="I47" s="337"/>
      <c r="J47" s="145"/>
      <c r="K47" s="143"/>
      <c r="L47" s="143"/>
      <c r="M47" s="143"/>
      <c r="N47" s="143"/>
      <c r="O47" s="144"/>
      <c r="P47" s="144"/>
      <c r="Q47" s="146"/>
      <c r="R47" s="145"/>
      <c r="S47" s="145"/>
      <c r="T47" s="634"/>
      <c r="U47" s="635"/>
      <c r="V47" s="509"/>
    </row>
    <row r="48" spans="1:22" ht="14.25" customHeight="1" x14ac:dyDescent="0.25">
      <c r="A48" s="636" t="s">
        <v>337</v>
      </c>
      <c r="B48" s="636"/>
      <c r="C48" s="636"/>
      <c r="D48" s="636"/>
      <c r="E48" s="636"/>
      <c r="F48" s="636"/>
      <c r="G48" s="637">
        <v>0</v>
      </c>
      <c r="H48" s="637"/>
      <c r="L48" s="636" t="s">
        <v>338</v>
      </c>
      <c r="M48" s="636"/>
      <c r="N48" s="636"/>
      <c r="O48" s="636"/>
      <c r="P48" s="636"/>
      <c r="Q48" s="636"/>
      <c r="R48" s="636"/>
      <c r="S48" s="637">
        <v>0</v>
      </c>
      <c r="T48" s="637"/>
      <c r="U48" s="637"/>
    </row>
    <row r="49" spans="1:2" ht="13.8" x14ac:dyDescent="0.25">
      <c r="A49" s="638" t="s">
        <v>8</v>
      </c>
      <c r="B49" s="638"/>
    </row>
  </sheetData>
  <mergeCells count="54">
    <mergeCell ref="A48:F48"/>
    <mergeCell ref="G48:H48"/>
    <mergeCell ref="L48:R48"/>
    <mergeCell ref="S48:U48"/>
    <mergeCell ref="A49:B49"/>
    <mergeCell ref="T9:U11"/>
    <mergeCell ref="V9:V11"/>
    <mergeCell ref="T46:U46"/>
    <mergeCell ref="T47:U47"/>
    <mergeCell ref="T41:U41"/>
    <mergeCell ref="T42:U42"/>
    <mergeCell ref="T43:U43"/>
    <mergeCell ref="T44:U44"/>
    <mergeCell ref="T45:U45"/>
    <mergeCell ref="T37:U37"/>
    <mergeCell ref="T38:U38"/>
    <mergeCell ref="T39:U39"/>
    <mergeCell ref="T40:U40"/>
    <mergeCell ref="T32:U32"/>
    <mergeCell ref="T33:U33"/>
    <mergeCell ref="T34:U34"/>
    <mergeCell ref="T35:U35"/>
    <mergeCell ref="T36:U36"/>
    <mergeCell ref="T29:U29"/>
    <mergeCell ref="T30:U30"/>
    <mergeCell ref="T31:U31"/>
    <mergeCell ref="T24:U24"/>
    <mergeCell ref="T25:U25"/>
    <mergeCell ref="T26:U26"/>
    <mergeCell ref="T27:U27"/>
    <mergeCell ref="T28:U28"/>
    <mergeCell ref="T21:U21"/>
    <mergeCell ref="T23:U23"/>
    <mergeCell ref="T22:U22"/>
    <mergeCell ref="T17:U17"/>
    <mergeCell ref="T18:U18"/>
    <mergeCell ref="T19:U19"/>
    <mergeCell ref="T20:U20"/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</mergeCells>
  <phoneticPr fontId="9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9"/>
  <sheetViews>
    <sheetView showGridLines="0" showOutlineSymbols="0" view="pageBreakPreview" zoomScaleSheetLayoutView="100" workbookViewId="0">
      <selection activeCell="T25" sqref="T25"/>
    </sheetView>
  </sheetViews>
  <sheetFormatPr defaultColWidth="6.88671875" defaultRowHeight="12.75" customHeight="1" x14ac:dyDescent="0.25"/>
  <cols>
    <col min="1" max="1" width="1" style="3" customWidth="1"/>
    <col min="2" max="2" width="33.33203125" style="3" customWidth="1"/>
    <col min="3" max="3" width="5.6640625" style="3" customWidth="1"/>
    <col min="4" max="4" width="7.5546875" style="3" customWidth="1"/>
    <col min="5" max="10" width="13" style="3" customWidth="1"/>
    <col min="11" max="11" width="13" style="3" hidden="1" customWidth="1"/>
    <col min="12" max="12" width="13" style="3" customWidth="1"/>
    <col min="13" max="13" width="5.109375" style="3" hidden="1" customWidth="1"/>
    <col min="14" max="16384" width="6.88671875" style="3"/>
  </cols>
  <sheetData>
    <row r="1" spans="1:13" ht="12" customHeight="1" x14ac:dyDescent="0.25">
      <c r="A1" s="645" t="str">
        <f>封面!$A$4</f>
        <v>彰化縣地方教育發展基金－彰化縣秀水鄉馬興國民小學</v>
      </c>
      <c r="B1" s="646"/>
      <c r="C1" s="646"/>
      <c r="D1" s="646"/>
      <c r="E1" s="646"/>
      <c r="F1" s="646"/>
      <c r="G1" s="646"/>
      <c r="H1" s="646"/>
      <c r="I1" s="646"/>
      <c r="J1" s="646"/>
      <c r="K1" s="646"/>
      <c r="L1" s="646"/>
      <c r="M1" s="647"/>
    </row>
    <row r="2" spans="1:13" ht="13.2" x14ac:dyDescent="0.25">
      <c r="A2" s="646"/>
      <c r="B2" s="646"/>
      <c r="C2" s="646"/>
      <c r="D2" s="646"/>
      <c r="E2" s="646"/>
      <c r="F2" s="646"/>
      <c r="G2" s="646"/>
      <c r="H2" s="646"/>
      <c r="I2" s="646"/>
      <c r="J2" s="646"/>
      <c r="K2" s="646"/>
      <c r="L2" s="646"/>
      <c r="M2" s="647"/>
    </row>
    <row r="3" spans="1:13" ht="13.2" x14ac:dyDescent="0.25">
      <c r="M3" s="230"/>
    </row>
    <row r="4" spans="1:13" ht="23.25" customHeight="1" x14ac:dyDescent="0.25">
      <c r="A4" s="648" t="s">
        <v>29</v>
      </c>
      <c r="B4" s="648"/>
      <c r="C4" s="648"/>
      <c r="D4" s="648"/>
      <c r="E4" s="648"/>
      <c r="F4" s="648"/>
      <c r="G4" s="648"/>
      <c r="H4" s="648"/>
      <c r="I4" s="648"/>
      <c r="J4" s="648"/>
      <c r="K4" s="648"/>
      <c r="L4" s="648"/>
      <c r="M4" s="648"/>
    </row>
    <row r="5" spans="1:13" ht="2.25" customHeight="1" x14ac:dyDescent="0.25">
      <c r="A5" s="648"/>
      <c r="B5" s="648"/>
      <c r="C5" s="648"/>
      <c r="D5" s="648"/>
      <c r="E5" s="648"/>
      <c r="F5" s="648"/>
      <c r="G5" s="648"/>
      <c r="H5" s="648"/>
      <c r="I5" s="648"/>
      <c r="J5" s="648"/>
      <c r="K5" s="648"/>
      <c r="L5" s="648"/>
      <c r="M5" s="648"/>
    </row>
    <row r="6" spans="1:13" ht="16.2" x14ac:dyDescent="0.25">
      <c r="A6" s="649" t="str">
        <f>封面!$E$10&amp;封面!$H$10&amp;封面!$I$10&amp;封面!$J$10&amp;封面!$K$10&amp;封面!L10</f>
        <v>中華民國110年12月份</v>
      </c>
      <c r="B6" s="649"/>
      <c r="C6" s="649"/>
      <c r="D6" s="649"/>
      <c r="E6" s="649"/>
      <c r="F6" s="649"/>
      <c r="G6" s="649"/>
      <c r="H6" s="649"/>
      <c r="I6" s="649"/>
      <c r="J6" s="649"/>
      <c r="K6" s="649"/>
      <c r="L6" s="649"/>
      <c r="M6" s="649"/>
    </row>
    <row r="7" spans="1:13" ht="10.5" customHeight="1" x14ac:dyDescent="0.25"/>
    <row r="8" spans="1:13" ht="16.2" x14ac:dyDescent="0.25">
      <c r="A8" s="609" t="s">
        <v>1</v>
      </c>
      <c r="B8" s="609"/>
      <c r="C8" s="609"/>
      <c r="D8" s="609"/>
      <c r="E8" s="609"/>
      <c r="F8" s="609"/>
      <c r="G8" s="609"/>
      <c r="H8" s="609"/>
      <c r="I8" s="609"/>
      <c r="J8" s="609"/>
      <c r="K8" s="609"/>
      <c r="L8" s="609"/>
      <c r="M8" s="609"/>
    </row>
    <row r="9" spans="1:13" ht="1.5" customHeight="1" x14ac:dyDescent="0.25"/>
    <row r="10" spans="1:13" s="5" customFormat="1" ht="32.25" customHeight="1" x14ac:dyDescent="0.25">
      <c r="A10" s="16"/>
      <c r="B10" s="639" t="s">
        <v>30</v>
      </c>
      <c r="C10" s="640"/>
      <c r="D10" s="641" t="s">
        <v>31</v>
      </c>
      <c r="E10" s="644" t="s">
        <v>32</v>
      </c>
      <c r="F10" s="639"/>
      <c r="G10" s="639"/>
      <c r="H10" s="650" t="s">
        <v>210</v>
      </c>
      <c r="I10" s="651"/>
      <c r="J10" s="651"/>
      <c r="K10" s="651"/>
      <c r="L10" s="651"/>
      <c r="M10" s="229"/>
    </row>
    <row r="11" spans="1:13" s="5" customFormat="1" ht="16.5" hidden="1" customHeight="1" x14ac:dyDescent="0.25">
      <c r="B11" s="652" t="s">
        <v>33</v>
      </c>
      <c r="C11" s="641" t="s">
        <v>34</v>
      </c>
      <c r="D11" s="642"/>
      <c r="E11" s="641" t="s">
        <v>35</v>
      </c>
      <c r="F11" s="641" t="s">
        <v>36</v>
      </c>
      <c r="G11" s="641" t="s">
        <v>37</v>
      </c>
      <c r="H11" s="641" t="s">
        <v>35</v>
      </c>
      <c r="I11" s="641" t="s">
        <v>36</v>
      </c>
      <c r="J11" s="656" t="s">
        <v>202</v>
      </c>
      <c r="K11" s="657"/>
      <c r="L11" s="658"/>
      <c r="M11" s="149"/>
    </row>
    <row r="12" spans="1:13" s="5" customFormat="1" ht="16.2" x14ac:dyDescent="0.25">
      <c r="A12" s="16"/>
      <c r="B12" s="653"/>
      <c r="C12" s="654"/>
      <c r="D12" s="643"/>
      <c r="E12" s="654"/>
      <c r="F12" s="654"/>
      <c r="G12" s="654"/>
      <c r="H12" s="655"/>
      <c r="I12" s="655"/>
      <c r="J12" s="229" t="s">
        <v>203</v>
      </c>
      <c r="K12" s="231"/>
      <c r="L12" s="229" t="s">
        <v>204</v>
      </c>
      <c r="M12" s="229"/>
    </row>
    <row r="13" spans="1:13" ht="39.75" hidden="1" customHeight="1" x14ac:dyDescent="0.25">
      <c r="C13" s="344"/>
      <c r="D13" s="344"/>
      <c r="E13" s="344"/>
      <c r="H13" s="14"/>
      <c r="I13" s="14"/>
      <c r="J13" s="14"/>
      <c r="K13" s="14"/>
      <c r="L13" s="14"/>
      <c r="M13" s="14"/>
    </row>
    <row r="14" spans="1:13" ht="13.2" hidden="1" x14ac:dyDescent="0.25">
      <c r="C14" s="344"/>
      <c r="D14" s="344"/>
      <c r="E14" s="344"/>
      <c r="H14" s="14"/>
      <c r="I14" s="14"/>
      <c r="J14" s="14"/>
      <c r="K14" s="14"/>
      <c r="L14" s="14"/>
      <c r="M14" s="14"/>
    </row>
    <row r="15" spans="1:13" ht="21" customHeight="1" x14ac:dyDescent="0.25">
      <c r="A15" s="12"/>
      <c r="B15" s="17" t="s">
        <v>23</v>
      </c>
      <c r="C15" s="395"/>
      <c r="D15" s="396" t="s">
        <v>38</v>
      </c>
      <c r="E15" s="397"/>
      <c r="F15" s="277"/>
      <c r="G15" s="278"/>
      <c r="H15" s="279">
        <v>910697</v>
      </c>
      <c r="I15" s="279">
        <v>223000</v>
      </c>
      <c r="J15" s="279">
        <v>687697</v>
      </c>
      <c r="K15" s="279"/>
      <c r="L15" s="280">
        <v>308.3843049327354</v>
      </c>
      <c r="M15" s="147"/>
    </row>
    <row r="16" spans="1:13" ht="12.75" hidden="1" customHeight="1" x14ac:dyDescent="0.25">
      <c r="A16" s="6"/>
      <c r="B16" s="155"/>
      <c r="C16" s="380"/>
      <c r="D16" s="381"/>
      <c r="E16" s="382"/>
      <c r="F16" s="281"/>
      <c r="G16" s="281"/>
      <c r="H16" s="277"/>
      <c r="I16" s="277"/>
      <c r="J16" s="277"/>
      <c r="K16" s="277"/>
      <c r="L16" s="277"/>
      <c r="M16" s="148"/>
    </row>
    <row r="17" spans="1:13" ht="21" customHeight="1" x14ac:dyDescent="0.25">
      <c r="A17" s="8"/>
      <c r="B17" s="157"/>
      <c r="C17" s="398"/>
      <c r="D17" s="399" t="s">
        <v>39</v>
      </c>
      <c r="E17" s="397"/>
      <c r="F17" s="277"/>
      <c r="G17" s="278"/>
      <c r="H17" s="279">
        <v>36052768</v>
      </c>
      <c r="I17" s="279">
        <v>36156000</v>
      </c>
      <c r="J17" s="279">
        <v>-103232</v>
      </c>
      <c r="K17" s="279"/>
      <c r="L17" s="280">
        <v>-0.28551830954751639</v>
      </c>
      <c r="M17" s="147"/>
    </row>
    <row r="18" spans="1:13" ht="12.75" hidden="1" customHeight="1" x14ac:dyDescent="0.25">
      <c r="B18" s="156"/>
      <c r="C18" s="381"/>
      <c r="D18" s="400"/>
      <c r="E18" s="382"/>
      <c r="F18" s="281"/>
      <c r="G18" s="281"/>
      <c r="H18" s="277"/>
      <c r="I18" s="277"/>
      <c r="J18" s="277"/>
      <c r="K18" s="277"/>
      <c r="L18" s="277"/>
      <c r="M18" s="148"/>
    </row>
    <row r="19" spans="1:13" ht="12.75" hidden="1" customHeight="1" x14ac:dyDescent="0.25">
      <c r="B19" s="156"/>
      <c r="C19" s="381"/>
      <c r="D19" s="381"/>
      <c r="E19" s="382"/>
      <c r="F19" s="281"/>
      <c r="G19" s="281"/>
      <c r="H19" s="277"/>
      <c r="I19" s="277"/>
      <c r="J19" s="277"/>
      <c r="K19" s="277"/>
      <c r="L19" s="277"/>
      <c r="M19" s="148"/>
    </row>
    <row r="20" spans="1:13" ht="21" hidden="1" customHeight="1" x14ac:dyDescent="0.25">
      <c r="A20" s="12"/>
      <c r="B20" s="17" t="s">
        <v>25</v>
      </c>
      <c r="C20" s="395"/>
      <c r="D20" s="396" t="s">
        <v>38</v>
      </c>
      <c r="E20" s="397"/>
      <c r="F20" s="277"/>
      <c r="G20" s="282"/>
      <c r="H20" s="279"/>
      <c r="I20" s="279"/>
      <c r="J20" s="279"/>
      <c r="K20" s="279"/>
      <c r="L20" s="280"/>
      <c r="M20" s="147"/>
    </row>
    <row r="21" spans="1:13" ht="12.75" hidden="1" customHeight="1" x14ac:dyDescent="0.25">
      <c r="A21" s="6"/>
      <c r="B21" s="155"/>
      <c r="C21" s="380"/>
      <c r="D21" s="381"/>
      <c r="E21" s="382"/>
      <c r="F21" s="281"/>
      <c r="G21" s="281"/>
      <c r="H21" s="277"/>
      <c r="I21" s="277"/>
      <c r="J21" s="277"/>
      <c r="K21" s="277"/>
      <c r="L21" s="277"/>
      <c r="M21" s="148"/>
    </row>
    <row r="22" spans="1:13" ht="21" hidden="1" customHeight="1" x14ac:dyDescent="0.25">
      <c r="A22" s="8"/>
      <c r="B22" s="157"/>
      <c r="C22" s="398"/>
      <c r="D22" s="399" t="s">
        <v>39</v>
      </c>
      <c r="E22" s="397"/>
      <c r="F22" s="277"/>
      <c r="G22" s="282"/>
      <c r="H22" s="279"/>
      <c r="I22" s="279"/>
      <c r="J22" s="279"/>
      <c r="K22" s="279"/>
      <c r="L22" s="280"/>
      <c r="M22" s="147"/>
    </row>
    <row r="23" spans="1:13" ht="12.75" hidden="1" customHeight="1" x14ac:dyDescent="0.25">
      <c r="B23" s="156"/>
      <c r="C23" s="156"/>
      <c r="D23" s="158"/>
      <c r="E23" s="281"/>
      <c r="F23" s="281"/>
      <c r="G23" s="281"/>
      <c r="H23" s="277"/>
      <c r="I23" s="277"/>
      <c r="J23" s="277"/>
      <c r="K23" s="277"/>
      <c r="L23" s="277"/>
      <c r="M23" s="148"/>
    </row>
    <row r="24" spans="1:13" ht="12.75" hidden="1" customHeight="1" x14ac:dyDescent="0.25">
      <c r="B24" s="156"/>
      <c r="C24" s="156"/>
      <c r="D24" s="156"/>
      <c r="E24" s="281"/>
      <c r="F24" s="281"/>
      <c r="G24" s="281"/>
      <c r="H24" s="277"/>
      <c r="I24" s="277"/>
      <c r="J24" s="277"/>
      <c r="K24" s="277"/>
      <c r="L24" s="277"/>
      <c r="M24" s="148"/>
    </row>
    <row r="25" spans="1:13" ht="12.75" hidden="1" customHeight="1" x14ac:dyDescent="0.25">
      <c r="B25" s="160"/>
      <c r="C25" s="161"/>
      <c r="D25" s="162"/>
      <c r="E25" s="159"/>
      <c r="F25" s="159"/>
      <c r="G25" s="159"/>
      <c r="H25" s="119"/>
      <c r="I25" s="119"/>
      <c r="J25" s="232"/>
      <c r="K25" s="232"/>
      <c r="L25" s="120"/>
      <c r="M25" s="121"/>
    </row>
    <row r="26" spans="1:13" ht="17.25" hidden="1" customHeight="1" x14ac:dyDescent="0.25">
      <c r="B26" s="161"/>
      <c r="C26" s="161"/>
      <c r="D26" s="158"/>
      <c r="E26" s="163"/>
      <c r="F26" s="163"/>
      <c r="G26" s="163"/>
      <c r="H26" s="163"/>
      <c r="I26" s="163"/>
      <c r="J26" s="163"/>
      <c r="K26" s="163"/>
      <c r="L26" s="163"/>
      <c r="M26" s="15"/>
    </row>
    <row r="27" spans="1:13" ht="45.75" customHeight="1" x14ac:dyDescent="0.25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 x14ac:dyDescent="0.25"/>
    <row r="29" spans="1:13" ht="12.75" customHeight="1" x14ac:dyDescent="0.25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34"/>
  <sheetViews>
    <sheetView showZeros="0" view="pageBreakPreview" zoomScaleSheetLayoutView="100" workbookViewId="0">
      <selection activeCell="T25" sqref="T25"/>
    </sheetView>
  </sheetViews>
  <sheetFormatPr defaultColWidth="9.109375" defaultRowHeight="15" x14ac:dyDescent="0.25"/>
  <cols>
    <col min="1" max="1" width="25.44140625" style="246" customWidth="1"/>
    <col min="2" max="7" width="17" style="59" customWidth="1"/>
    <col min="8" max="16384" width="9.109375" style="59"/>
  </cols>
  <sheetData>
    <row r="1" spans="1:11" s="85" customFormat="1" ht="19.8" x14ac:dyDescent="0.25">
      <c r="A1" s="660" t="str">
        <f>封面!$A$4</f>
        <v>彰化縣地方教育發展基金－彰化縣秀水鄉馬興國民小學</v>
      </c>
      <c r="B1" s="660"/>
      <c r="C1" s="660"/>
      <c r="D1" s="660"/>
      <c r="E1" s="660"/>
      <c r="F1" s="660"/>
      <c r="G1" s="661"/>
      <c r="J1" s="241"/>
      <c r="K1" s="215"/>
    </row>
    <row r="2" spans="1:11" s="85" customFormat="1" ht="19.8" hidden="1" x14ac:dyDescent="0.25">
      <c r="A2" s="244"/>
      <c r="B2" s="237"/>
      <c r="C2" s="237"/>
      <c r="D2" s="240"/>
      <c r="E2" s="240"/>
      <c r="F2" s="240"/>
      <c r="J2" s="241"/>
      <c r="K2" s="215"/>
    </row>
    <row r="3" spans="1:11" s="85" customFormat="1" ht="14.25" hidden="1" customHeight="1" x14ac:dyDescent="0.25">
      <c r="A3" s="245"/>
      <c r="J3" s="241"/>
      <c r="K3" s="215"/>
    </row>
    <row r="4" spans="1:11" s="85" customFormat="1" ht="22.2" x14ac:dyDescent="0.25">
      <c r="A4" s="665" t="s">
        <v>277</v>
      </c>
      <c r="B4" s="665"/>
      <c r="C4" s="665"/>
      <c r="D4" s="665"/>
      <c r="E4" s="665"/>
      <c r="F4" s="665"/>
      <c r="G4" s="661"/>
      <c r="J4" s="241"/>
      <c r="K4" s="215"/>
    </row>
    <row r="5" spans="1:11" s="85" customFormat="1" ht="6.75" customHeight="1" x14ac:dyDescent="0.25">
      <c r="A5" s="245"/>
      <c r="J5" s="241"/>
      <c r="K5" s="215"/>
    </row>
    <row r="6" spans="1:11" s="85" customFormat="1" ht="16.2" x14ac:dyDescent="0.25">
      <c r="A6" s="664" t="str">
        <f>封面!$E$10&amp;封面!$H$10&amp;封面!$I$10&amp;封面!$J$10&amp;封面!$K$10&amp;封面!L10</f>
        <v>中華民國110年12月份</v>
      </c>
      <c r="B6" s="664"/>
      <c r="C6" s="664"/>
      <c r="D6" s="664"/>
      <c r="E6" s="664"/>
      <c r="F6" s="664"/>
      <c r="G6" s="661"/>
      <c r="J6" s="241"/>
      <c r="K6" s="215"/>
    </row>
    <row r="7" spans="1:11" s="85" customFormat="1" ht="14.25" customHeight="1" x14ac:dyDescent="0.25">
      <c r="A7" s="609" t="s">
        <v>41</v>
      </c>
      <c r="B7" s="609"/>
      <c r="C7" s="609"/>
      <c r="D7" s="609"/>
      <c r="E7" s="609"/>
      <c r="F7" s="609"/>
      <c r="G7" s="661"/>
      <c r="J7" s="241"/>
      <c r="K7" s="215"/>
    </row>
    <row r="8" spans="1:11" s="242" customFormat="1" ht="28.5" customHeight="1" x14ac:dyDescent="0.25">
      <c r="A8" s="662" t="s">
        <v>221</v>
      </c>
      <c r="B8" s="662" t="s">
        <v>279</v>
      </c>
      <c r="C8" s="662" t="s">
        <v>280</v>
      </c>
      <c r="D8" s="666" t="s">
        <v>283</v>
      </c>
      <c r="E8" s="667"/>
      <c r="F8" s="595" t="s">
        <v>284</v>
      </c>
      <c r="G8" s="592" t="s">
        <v>285</v>
      </c>
    </row>
    <row r="9" spans="1:11" s="243" customFormat="1" ht="28.5" customHeight="1" x14ac:dyDescent="0.25">
      <c r="A9" s="663"/>
      <c r="B9" s="663"/>
      <c r="C9" s="663"/>
      <c r="D9" s="326" t="s">
        <v>281</v>
      </c>
      <c r="E9" s="326" t="s">
        <v>282</v>
      </c>
      <c r="F9" s="659"/>
      <c r="G9" s="629"/>
    </row>
    <row r="10" spans="1:11" x14ac:dyDescent="0.25">
      <c r="A10" s="247" t="s">
        <v>212</v>
      </c>
      <c r="B10" s="283">
        <f t="shared" ref="B10:G10" si="0">SUM(B12:B32)</f>
        <v>70280722</v>
      </c>
      <c r="C10" s="283">
        <f t="shared" si="0"/>
        <v>35694644</v>
      </c>
      <c r="D10" s="327">
        <f t="shared" si="0"/>
        <v>13250826</v>
      </c>
      <c r="E10" s="327">
        <f t="shared" si="0"/>
        <v>8643725</v>
      </c>
      <c r="F10" s="327">
        <f t="shared" si="0"/>
        <v>-994060</v>
      </c>
      <c r="G10" s="327">
        <f t="shared" si="0"/>
        <v>40187239</v>
      </c>
    </row>
    <row r="11" spans="1:11" ht="15.75" hidden="1" customHeight="1" x14ac:dyDescent="0.25">
      <c r="A11" s="248"/>
      <c r="B11" s="284"/>
      <c r="C11" s="284"/>
      <c r="D11" s="328"/>
      <c r="E11" s="328"/>
      <c r="F11" s="328"/>
      <c r="G11" s="328"/>
    </row>
    <row r="12" spans="1:11" x14ac:dyDescent="0.25">
      <c r="A12" s="249" t="s">
        <v>213</v>
      </c>
      <c r="B12" s="284"/>
      <c r="C12" s="284"/>
      <c r="D12" s="328"/>
      <c r="E12" s="328"/>
      <c r="F12" s="328"/>
      <c r="G12" s="328">
        <f>B12-C12+D12-E12-F12</f>
        <v>0</v>
      </c>
    </row>
    <row r="13" spans="1:11" ht="15.75" hidden="1" customHeight="1" x14ac:dyDescent="0.25">
      <c r="A13" s="249"/>
      <c r="B13" s="284"/>
      <c r="C13" s="379"/>
      <c r="D13" s="438"/>
      <c r="E13" s="438"/>
      <c r="F13" s="328"/>
      <c r="G13" s="328">
        <f t="shared" ref="G13:G33" si="1">B13-C13+D13-E13-F13</f>
        <v>0</v>
      </c>
    </row>
    <row r="14" spans="1:11" x14ac:dyDescent="0.25">
      <c r="A14" s="249" t="s">
        <v>214</v>
      </c>
      <c r="B14" s="284">
        <v>9760300</v>
      </c>
      <c r="C14" s="439"/>
      <c r="D14" s="438">
        <v>1267058</v>
      </c>
      <c r="E14" s="438"/>
      <c r="F14" s="328"/>
      <c r="G14" s="328">
        <f t="shared" si="1"/>
        <v>11027358</v>
      </c>
    </row>
    <row r="15" spans="1:11" ht="15.75" hidden="1" customHeight="1" x14ac:dyDescent="0.25">
      <c r="A15" s="249"/>
      <c r="B15" s="284"/>
      <c r="C15" s="439"/>
      <c r="D15" s="438"/>
      <c r="E15" s="438"/>
      <c r="F15" s="328"/>
      <c r="G15" s="328">
        <f t="shared" si="1"/>
        <v>0</v>
      </c>
    </row>
    <row r="16" spans="1:11" x14ac:dyDescent="0.25">
      <c r="A16" s="249" t="s">
        <v>215</v>
      </c>
      <c r="B16" s="441">
        <v>5526838</v>
      </c>
      <c r="C16" s="442">
        <v>1994354</v>
      </c>
      <c r="D16" s="440"/>
      <c r="E16" s="438">
        <v>389538</v>
      </c>
      <c r="F16" s="442">
        <v>7993</v>
      </c>
      <c r="G16" s="328">
        <f t="shared" si="1"/>
        <v>3134953</v>
      </c>
    </row>
    <row r="17" spans="1:7" ht="15.75" hidden="1" customHeight="1" x14ac:dyDescent="0.25">
      <c r="A17" s="249"/>
      <c r="B17" s="439"/>
      <c r="C17" s="439"/>
      <c r="D17" s="440"/>
      <c r="E17" s="438"/>
      <c r="F17" s="440"/>
      <c r="G17" s="328">
        <f t="shared" si="1"/>
        <v>0</v>
      </c>
    </row>
    <row r="18" spans="1:7" x14ac:dyDescent="0.25">
      <c r="A18" s="249" t="s">
        <v>216</v>
      </c>
      <c r="B18" s="441">
        <v>44439582</v>
      </c>
      <c r="C18" s="442">
        <v>24273070</v>
      </c>
      <c r="D18" s="438">
        <v>9842575</v>
      </c>
      <c r="E18" s="438">
        <v>5782907</v>
      </c>
      <c r="F18" s="442">
        <v>782084</v>
      </c>
      <c r="G18" s="328">
        <f t="shared" si="1"/>
        <v>23444096</v>
      </c>
    </row>
    <row r="19" spans="1:7" ht="15.75" hidden="1" customHeight="1" x14ac:dyDescent="0.25">
      <c r="A19" s="249"/>
      <c r="B19" s="439"/>
      <c r="C19" s="439"/>
      <c r="D19" s="440"/>
      <c r="E19" s="438"/>
      <c r="F19" s="440"/>
      <c r="G19" s="328">
        <f t="shared" si="1"/>
        <v>0</v>
      </c>
    </row>
    <row r="20" spans="1:7" x14ac:dyDescent="0.25">
      <c r="A20" s="249" t="s">
        <v>217</v>
      </c>
      <c r="B20" s="441">
        <v>5359592</v>
      </c>
      <c r="C20" s="442">
        <v>4936563</v>
      </c>
      <c r="D20" s="442">
        <v>1329018</v>
      </c>
      <c r="E20" s="438">
        <v>1471474</v>
      </c>
      <c r="F20" s="442">
        <v>-1077907</v>
      </c>
      <c r="G20" s="328">
        <f t="shared" si="1"/>
        <v>1358480</v>
      </c>
    </row>
    <row r="21" spans="1:7" ht="15.75" hidden="1" customHeight="1" x14ac:dyDescent="0.25">
      <c r="A21" s="249"/>
      <c r="B21" s="439"/>
      <c r="C21" s="439"/>
      <c r="D21" s="440"/>
      <c r="E21" s="438"/>
      <c r="F21" s="440"/>
      <c r="G21" s="328">
        <f t="shared" si="1"/>
        <v>0</v>
      </c>
    </row>
    <row r="22" spans="1:7" x14ac:dyDescent="0.25">
      <c r="A22" s="249" t="s">
        <v>218</v>
      </c>
      <c r="B22" s="441">
        <v>833400</v>
      </c>
      <c r="C22" s="442">
        <v>702170</v>
      </c>
      <c r="D22" s="442">
        <v>150500</v>
      </c>
      <c r="E22" s="438">
        <v>349400</v>
      </c>
      <c r="F22" s="442">
        <v>-268282</v>
      </c>
      <c r="G22" s="328">
        <f t="shared" si="1"/>
        <v>200612</v>
      </c>
    </row>
    <row r="23" spans="1:7" ht="15.75" hidden="1" customHeight="1" x14ac:dyDescent="0.25">
      <c r="A23" s="249"/>
      <c r="B23" s="439"/>
      <c r="C23" s="439"/>
      <c r="D23" s="440"/>
      <c r="E23" s="328"/>
      <c r="F23" s="440"/>
      <c r="G23" s="328">
        <f t="shared" si="1"/>
        <v>0</v>
      </c>
    </row>
    <row r="24" spans="1:7" x14ac:dyDescent="0.25">
      <c r="A24" s="249" t="s">
        <v>219</v>
      </c>
      <c r="B24" s="441">
        <v>4361010</v>
      </c>
      <c r="C24" s="442">
        <v>3788487</v>
      </c>
      <c r="D24" s="442">
        <v>661675</v>
      </c>
      <c r="E24" s="328">
        <v>650406</v>
      </c>
      <c r="F24" s="442">
        <v>-437948</v>
      </c>
      <c r="G24" s="328">
        <f t="shared" si="1"/>
        <v>1021740</v>
      </c>
    </row>
    <row r="25" spans="1:7" ht="15.75" hidden="1" customHeight="1" x14ac:dyDescent="0.25">
      <c r="A25" s="249"/>
      <c r="B25" s="284"/>
      <c r="C25" s="284"/>
      <c r="D25" s="328"/>
      <c r="E25" s="328"/>
      <c r="F25" s="328"/>
      <c r="G25" s="328">
        <f t="shared" si="1"/>
        <v>0</v>
      </c>
    </row>
    <row r="26" spans="1:7" x14ac:dyDescent="0.25">
      <c r="A26" s="249" t="s">
        <v>220</v>
      </c>
      <c r="B26" s="284"/>
      <c r="C26" s="284"/>
      <c r="D26" s="328"/>
      <c r="E26" s="328"/>
      <c r="F26" s="328"/>
      <c r="G26" s="328">
        <f t="shared" si="1"/>
        <v>0</v>
      </c>
    </row>
    <row r="27" spans="1:7" ht="15.75" hidden="1" customHeight="1" x14ac:dyDescent="0.25">
      <c r="A27" s="249"/>
      <c r="B27" s="284"/>
      <c r="C27" s="284"/>
      <c r="D27" s="328"/>
      <c r="E27" s="328"/>
      <c r="F27" s="328"/>
      <c r="G27" s="328">
        <f t="shared" si="1"/>
        <v>0</v>
      </c>
    </row>
    <row r="28" spans="1:7" x14ac:dyDescent="0.25">
      <c r="A28" s="249" t="s">
        <v>278</v>
      </c>
      <c r="B28" s="284"/>
      <c r="C28" s="284"/>
      <c r="D28" s="328"/>
      <c r="E28" s="328"/>
      <c r="F28" s="328"/>
      <c r="G28" s="328">
        <f t="shared" si="1"/>
        <v>0</v>
      </c>
    </row>
    <row r="29" spans="1:7" ht="15.75" hidden="1" customHeight="1" x14ac:dyDescent="0.25">
      <c r="A29" s="249"/>
      <c r="B29" s="284"/>
      <c r="C29" s="284"/>
      <c r="D29" s="328"/>
      <c r="E29" s="328"/>
      <c r="F29" s="328"/>
      <c r="G29" s="328">
        <f t="shared" si="1"/>
        <v>0</v>
      </c>
    </row>
    <row r="30" spans="1:7" x14ac:dyDescent="0.25">
      <c r="A30" s="249" t="s">
        <v>52</v>
      </c>
      <c r="B30" s="284"/>
      <c r="C30" s="284"/>
      <c r="D30" s="328"/>
      <c r="E30" s="328"/>
      <c r="F30" s="328"/>
      <c r="G30" s="328">
        <f t="shared" si="1"/>
        <v>0</v>
      </c>
    </row>
    <row r="31" spans="1:7" x14ac:dyDescent="0.25">
      <c r="A31" s="249" t="s">
        <v>207</v>
      </c>
      <c r="B31" s="284"/>
      <c r="C31" s="284"/>
      <c r="D31" s="328"/>
      <c r="E31" s="328"/>
      <c r="F31" s="328"/>
      <c r="G31" s="328">
        <f t="shared" si="1"/>
        <v>0</v>
      </c>
    </row>
    <row r="32" spans="1:7" ht="15.75" hidden="1" customHeight="1" x14ac:dyDescent="0.25">
      <c r="A32" s="249"/>
      <c r="B32" s="284"/>
      <c r="C32" s="284"/>
      <c r="D32" s="328"/>
      <c r="E32" s="328"/>
      <c r="F32" s="328"/>
      <c r="G32" s="328">
        <f t="shared" si="1"/>
        <v>0</v>
      </c>
    </row>
    <row r="33" spans="1:7" x14ac:dyDescent="0.25">
      <c r="A33" s="250" t="s">
        <v>208</v>
      </c>
      <c r="B33" s="285"/>
      <c r="C33" s="285"/>
      <c r="D33" s="329"/>
      <c r="E33" s="329"/>
      <c r="F33" s="329"/>
      <c r="G33" s="329">
        <f t="shared" si="1"/>
        <v>0</v>
      </c>
    </row>
    <row r="34" spans="1:7" x14ac:dyDescent="0.25">
      <c r="G34" s="276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21</vt:i4>
      </vt:variant>
      <vt:variant>
        <vt:lpstr>具名範圍</vt:lpstr>
      </vt:variant>
      <vt:variant>
        <vt:i4>17</vt:i4>
      </vt:variant>
    </vt:vector>
  </HeadingPairs>
  <TitlesOfParts>
    <vt:vector size="38" baseType="lpstr">
      <vt:lpstr>封面-移交</vt:lpstr>
      <vt:lpstr>勾稽</vt:lpstr>
      <vt:lpstr>勾稽 (2)</vt:lpstr>
      <vt:lpstr>Sheet1</vt:lpstr>
      <vt:lpstr>封面</vt:lpstr>
      <vt:lpstr>餘絀表</vt:lpstr>
      <vt:lpstr>平衡</vt:lpstr>
      <vt:lpstr>主要業務</vt:lpstr>
      <vt:lpstr>資產</vt:lpstr>
      <vt:lpstr>各項費用</vt:lpstr>
      <vt:lpstr>落後原因</vt:lpstr>
      <vt:lpstr>收支</vt:lpstr>
      <vt:lpstr>對照表</vt:lpstr>
      <vt:lpstr>庫款差額</vt:lpstr>
      <vt:lpstr>縣庫對帳</vt:lpstr>
      <vt:lpstr>購健固定</vt:lpstr>
      <vt:lpstr>固定項目</vt:lpstr>
      <vt:lpstr>專戶差額</vt:lpstr>
      <vt:lpstr>保管品</vt:lpstr>
      <vt:lpstr>專戶對帳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2022-01-03T03:49:14Z</cp:lastPrinted>
  <dcterms:created xsi:type="dcterms:W3CDTF">2016-11-01T23:05:09Z</dcterms:created>
  <dcterms:modified xsi:type="dcterms:W3CDTF">2022-01-28T01:13:10Z</dcterms:modified>
</cp:coreProperties>
</file>