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0\"/>
    </mc:Choice>
  </mc:AlternateContent>
  <xr:revisionPtr revIDLastSave="0" documentId="13_ncr:1_{CDFE13DC-00DD-4014-AB3E-21793641FFCD}" xr6:coauthVersionLast="36" xr6:coauthVersionMax="36" xr10:uidLastSave="{00000000-0000-0000-0000-000000000000}"/>
  <bookViews>
    <workbookView xWindow="-12" yWindow="72" windowWidth="15480" windowHeight="3780" tabRatio="665" activeTab="10" xr2:uid="{00000000-000D-0000-FFFF-FFFF00000000}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_xlnm.Print_Area" localSheetId="5">平衡!$A$1:$V$49</definedName>
    <definedName name="_xlnm.Print_Area" localSheetId="8">各項費用!$A$1:$W$86</definedName>
    <definedName name="_xlnm.Print_Area" localSheetId="10">收支!$A$1:$N$40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落後原因!$A$1:$P$24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79021"/>
</workbook>
</file>

<file path=xl/calcChain.xml><?xml version="1.0" encoding="utf-8"?>
<calcChain xmlns="http://schemas.openxmlformats.org/spreadsheetml/2006/main">
  <c r="N18" i="23" l="1"/>
  <c r="G29" i="25" l="1"/>
  <c r="G31" i="25" s="1"/>
  <c r="C16" i="24"/>
  <c r="I22" i="23"/>
  <c r="B16" i="11"/>
  <c r="H21" i="25" l="1"/>
  <c r="N38" i="23" l="1"/>
  <c r="N37" i="23"/>
  <c r="N35" i="23"/>
  <c r="N33" i="23"/>
  <c r="N31" i="23"/>
  <c r="N29" i="23"/>
  <c r="N27" i="23"/>
  <c r="N24" i="23"/>
  <c r="N22" i="23"/>
  <c r="N20" i="23"/>
  <c r="N19" i="23"/>
  <c r="N16" i="23"/>
  <c r="I34" i="23" l="1"/>
  <c r="N34" i="23" s="1"/>
  <c r="I32" i="23"/>
  <c r="N32" i="23" s="1"/>
  <c r="I30" i="23"/>
  <c r="N30" i="23" s="1"/>
  <c r="I28" i="23"/>
  <c r="N28" i="23" s="1"/>
  <c r="I26" i="23"/>
  <c r="N26" i="23" s="1"/>
  <c r="I23" i="23"/>
  <c r="N23" i="23" s="1"/>
  <c r="I21" i="23"/>
  <c r="N21" i="23" s="1"/>
  <c r="I17" i="23"/>
  <c r="N17" i="23" s="1"/>
  <c r="I15" i="23"/>
  <c r="N15" i="23" s="1"/>
  <c r="A1" i="10"/>
  <c r="A3" i="10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I25" i="23"/>
  <c r="N25" i="23" s="1"/>
  <c r="D28" i="24"/>
  <c r="I40" i="23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E15" i="25"/>
  <c r="D15" i="25"/>
  <c r="D14" i="25"/>
  <c r="E13" i="25"/>
  <c r="G13" i="25" s="1"/>
  <c r="G11" i="25"/>
  <c r="F11" i="25"/>
  <c r="D11" i="25"/>
  <c r="D10" i="25"/>
  <c r="E9" i="25"/>
  <c r="D9" i="25"/>
  <c r="E8" i="25"/>
  <c r="D8" i="25"/>
  <c r="E7" i="25"/>
  <c r="D7" i="25"/>
  <c r="D6" i="25"/>
  <c r="D5" i="25"/>
  <c r="C5" i="25"/>
  <c r="E6" i="25" s="1"/>
  <c r="F30" i="25"/>
  <c r="E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D29" i="25" l="1"/>
  <c r="F29" i="25" s="1"/>
  <c r="F28" i="25" s="1"/>
  <c r="E31" i="25"/>
  <c r="E28" i="24"/>
  <c r="N14" i="23"/>
  <c r="I36" i="23"/>
  <c r="J28" i="24"/>
  <c r="D31" i="24"/>
  <c r="D13" i="25"/>
  <c r="H10" i="25" s="1"/>
  <c r="E15" i="15"/>
  <c r="E20" i="15"/>
  <c r="E21" i="15"/>
  <c r="G11" i="15"/>
  <c r="F12" i="15" l="1"/>
  <c r="F12" i="25"/>
  <c r="I39" i="23"/>
  <c r="N36" i="23"/>
  <c r="N39" i="23" s="1"/>
  <c r="D28" i="25"/>
  <c r="D31" i="25" s="1"/>
  <c r="D32" i="25" s="1"/>
  <c r="J31" i="24"/>
  <c r="E31" i="24"/>
  <c r="E9" i="15"/>
  <c r="D9" i="15"/>
  <c r="P7" i="12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5" i="25" l="1"/>
  <c r="F14" i="25"/>
  <c r="G12" i="25"/>
  <c r="F13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L29" i="8" s="1"/>
  <c r="K31" i="8"/>
  <c r="M31" i="8" s="1"/>
  <c r="N31" i="8" s="1"/>
  <c r="K32" i="8"/>
  <c r="M32" i="8" s="1"/>
  <c r="N32" i="8" s="1"/>
  <c r="K34" i="8"/>
  <c r="L34" i="8" s="1"/>
  <c r="K35" i="8"/>
  <c r="M35" i="8" s="1"/>
  <c r="N35" i="8" s="1"/>
  <c r="K37" i="8"/>
  <c r="M37" i="8" s="1"/>
  <c r="N37" i="8" s="1"/>
  <c r="K38" i="8"/>
  <c r="L38" i="8" s="1"/>
  <c r="K39" i="8"/>
  <c r="L39" i="8" s="1"/>
  <c r="G22" i="8"/>
  <c r="G23" i="8"/>
  <c r="G25" i="8"/>
  <c r="G26" i="8"/>
  <c r="G28" i="8"/>
  <c r="G29" i="8"/>
  <c r="G30" i="8"/>
  <c r="G31" i="8"/>
  <c r="G32" i="8"/>
  <c r="G33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D40" i="8" s="1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J30" i="8"/>
  <c r="I30" i="8"/>
  <c r="K30" i="8" s="1"/>
  <c r="L30" i="8" s="1"/>
  <c r="H30" i="8"/>
  <c r="F30" i="8"/>
  <c r="E30" i="8"/>
  <c r="D30" i="8"/>
  <c r="C30" i="8"/>
  <c r="J27" i="8"/>
  <c r="I27" i="8"/>
  <c r="K27" i="8" s="1"/>
  <c r="L27" i="8" s="1"/>
  <c r="H27" i="8"/>
  <c r="F27" i="8"/>
  <c r="E27" i="8"/>
  <c r="D27" i="8"/>
  <c r="G27" i="8" s="1"/>
  <c r="C27" i="8"/>
  <c r="J24" i="8"/>
  <c r="I24" i="8"/>
  <c r="K24" i="8" s="1"/>
  <c r="L24" i="8" s="1"/>
  <c r="H24" i="8"/>
  <c r="F24" i="8"/>
  <c r="E24" i="8"/>
  <c r="D24" i="8"/>
  <c r="C24" i="8"/>
  <c r="G24" i="8" s="1"/>
  <c r="L23" i="8"/>
  <c r="L25" i="8"/>
  <c r="L28" i="8"/>
  <c r="L32" i="8"/>
  <c r="L35" i="8"/>
  <c r="L37" i="8"/>
  <c r="D21" i="8"/>
  <c r="E21" i="8"/>
  <c r="E40" i="8" s="1"/>
  <c r="F21" i="8"/>
  <c r="F40" i="8" s="1"/>
  <c r="H21" i="8"/>
  <c r="I21" i="8"/>
  <c r="I40" i="8" s="1"/>
  <c r="J21" i="8"/>
  <c r="K21" i="8" s="1"/>
  <c r="L21" i="8" s="1"/>
  <c r="C21" i="8"/>
  <c r="G21" i="8" s="1"/>
  <c r="L8" i="16"/>
  <c r="K8" i="16"/>
  <c r="J8" i="16"/>
  <c r="I8" i="16"/>
  <c r="G8" i="16"/>
  <c r="M27" i="8" l="1"/>
  <c r="N27" i="8" s="1"/>
  <c r="M24" i="8"/>
  <c r="N24" i="8" s="1"/>
  <c r="M21" i="8"/>
  <c r="N21" i="8" s="1"/>
  <c r="M30" i="8"/>
  <c r="N30" i="8" s="1"/>
  <c r="M29" i="8"/>
  <c r="N29" i="8" s="1"/>
  <c r="M39" i="8"/>
  <c r="N39" i="8" s="1"/>
  <c r="M38" i="8"/>
  <c r="N38" i="8" s="1"/>
  <c r="M26" i="8"/>
  <c r="N26" i="8" s="1"/>
  <c r="C40" i="8"/>
  <c r="G40" i="8" s="1"/>
  <c r="L31" i="8"/>
  <c r="J40" i="8"/>
  <c r="K40" i="8" s="1"/>
  <c r="L40" i="8" s="1"/>
  <c r="M34" i="8"/>
  <c r="N34" i="8" s="1"/>
  <c r="H40" i="8"/>
  <c r="M22" i="8"/>
  <c r="N22" i="8" s="1"/>
  <c r="D23" i="15"/>
  <c r="H8" i="16" s="1"/>
  <c r="M40" i="8" l="1"/>
  <c r="N40" i="8" s="1"/>
  <c r="L38" i="16"/>
  <c r="J38" i="16"/>
  <c r="I38" i="16"/>
  <c r="H38" i="16"/>
  <c r="G38" i="16"/>
  <c r="L34" i="16"/>
  <c r="J34" i="16"/>
  <c r="I34" i="16"/>
  <c r="H34" i="16"/>
  <c r="G34" i="16"/>
  <c r="L13" i="16"/>
  <c r="J13" i="16"/>
  <c r="I13" i="16"/>
  <c r="H13" i="16"/>
  <c r="G13" i="16"/>
  <c r="L9" i="16"/>
  <c r="L46" i="16" s="1"/>
  <c r="L47" i="16" s="1"/>
  <c r="J9" i="16"/>
  <c r="J46" i="16" s="1"/>
  <c r="J47" i="16" s="1"/>
  <c r="I9" i="16"/>
  <c r="I46" i="16" s="1"/>
  <c r="I47" i="16" s="1"/>
  <c r="H9" i="16"/>
  <c r="H46" i="16" s="1"/>
  <c r="H47" i="16" s="1"/>
  <c r="G9" i="16"/>
  <c r="G46" i="16" s="1"/>
  <c r="G47" i="16" s="1"/>
  <c r="G7" i="16"/>
  <c r="G43" i="16" l="1"/>
  <c r="A16" i="11" l="1"/>
  <c r="F10" i="21" l="1"/>
  <c r="E10" i="21"/>
  <c r="D10" i="21"/>
  <c r="C10" i="21"/>
  <c r="B10" i="21"/>
  <c r="D21" i="25" l="1"/>
  <c r="D21" i="15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25" l="1"/>
  <c r="F9" i="1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</calcChain>
</file>

<file path=xl/sharedStrings.xml><?xml version="1.0" encoding="utf-8"?>
<sst xmlns="http://schemas.openxmlformats.org/spreadsheetml/2006/main" count="907" uniqueCount="691">
  <si>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</si>
  <si>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</si>
  <si>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</si>
  <si>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</si>
  <si>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</si>
  <si>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</si>
  <si>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</si>
  <si>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</si>
  <si>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</si>
  <si>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</si>
  <si>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</si>
  <si>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</si>
  <si>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</si>
  <si>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</si>
  <si>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</si>
  <si>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</si>
  <si>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</si>
  <si>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</si>
  <si>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</si>
  <si>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</si>
  <si>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</si>
  <si>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</si>
  <si>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</si>
  <si>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</si>
  <si>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</si>
  <si>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</si>
  <si>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</si>
  <si>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</si>
  <si>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</si>
  <si>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</si>
  <si>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</si>
  <si>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</si>
  <si>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</si>
  <si>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</si>
  <si>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</si>
  <si>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</si>
  <si>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</si>
  <si>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</si>
  <si>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</si>
  <si>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</si>
  <si>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</si>
  <si>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</si>
  <si>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</si>
  <si>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</si>
  <si>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</si>
  <si>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</si>
  <si>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</si>
  <si>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</si>
  <si>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</si>
  <si>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</si>
  <si>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</si>
  <si>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</si>
  <si>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</si>
  <si>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</si>
  <si>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</si>
  <si>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</si>
  <si>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</si>
  <si>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</si>
  <si>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</si>
  <si>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</si>
  <si>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</si>
  <si>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</si>
  <si>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</si>
  <si>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</si>
  <si>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</si>
  <si>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</si>
  <si>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</si>
  <si>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</si>
  <si>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</si>
  <si>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</si>
  <si>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</si>
  <si>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</si>
  <si>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</si>
  <si>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</si>
  <si>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</si>
  <si>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</si>
  <si>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</si>
  <si>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</si>
  <si>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</si>
  <si>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</si>
  <si>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</si>
  <si>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</si>
  <si>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</si>
  <si>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</si>
  <si>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</si>
  <si>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</si>
  <si>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</si>
  <si>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</si>
  <si>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</si>
  <si>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</si>
  <si>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</si>
  <si>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</si>
  <si>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</si>
  <si>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</si>
  <si>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</si>
  <si>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</si>
  <si>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</si>
  <si>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</si>
  <si>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</si>
  <si>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</si>
  <si>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</si>
  <si>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</si>
  <si>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</si>
  <si>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</si>
  <si>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</si>
  <si>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</si>
  <si>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</si>
  <si>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</si>
  <si>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</si>
  <si>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</si>
  <si>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</si>
  <si>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</si>
  <si>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</si>
  <si>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</si>
  <si>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</si>
  <si>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</si>
  <si>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</si>
  <si>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</si>
  <si>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</si>
  <si>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</si>
  <si>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</si>
  <si>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</si>
  <si>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</si>
  <si>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</si>
  <si>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</si>
  <si>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</si>
  <si>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</si>
  <si>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</si>
  <si>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</si>
  <si>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</si>
  <si>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</si>
  <si>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</si>
  <si>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</si>
  <si>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</si>
  <si>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</si>
  <si>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</si>
  <si>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</si>
  <si>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</si>
  <si>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</si>
  <si>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</si>
  <si>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</si>
  <si>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</si>
  <si>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</si>
  <si>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</si>
  <si>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</si>
  <si>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</si>
  <si>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</si>
  <si>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</si>
  <si>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</si>
  <si>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</si>
  <si>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</si>
  <si>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</si>
  <si>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</si>
  <si>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</si>
  <si>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</si>
  <si>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</si>
  <si>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</si>
  <si>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</si>
  <si>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</si>
  <si>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</si>
  <si>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</si>
  <si>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</si>
  <si>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</si>
  <si>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</si>
  <si>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</si>
  <si>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</si>
  <si>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</si>
  <si>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</si>
  <si>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</si>
  <si>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</si>
  <si>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</si>
  <si>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</si>
  <si>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</si>
  <si>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</si>
  <si>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</si>
  <si>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</si>
  <si>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</si>
  <si>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</si>
  <si>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</si>
  <si>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</si>
  <si>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</si>
  <si>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</si>
  <si>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</si>
  <si>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</si>
  <si>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</si>
  <si>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</si>
  <si>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</si>
  <si>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</si>
  <si>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</si>
  <si>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</si>
  <si>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</si>
  <si>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</si>
  <si>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</si>
  <si>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</si>
  <si>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</si>
  <si>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</si>
  <si>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</si>
  <si>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</si>
  <si>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</si>
  <si>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</si>
  <si>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</si>
  <si>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</si>
  <si>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</si>
  <si>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</si>
  <si>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</si>
  <si>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</si>
  <si>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</si>
  <si>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</si>
  <si>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</si>
  <si>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</si>
  <si>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</si>
  <si>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</si>
  <si>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</si>
  <si>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</si>
  <si>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</si>
  <si>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</si>
  <si>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</si>
  <si>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</si>
  <si>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</si>
  <si>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</si>
  <si>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</si>
  <si>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</si>
  <si>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</si>
  <si>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</si>
  <si>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</si>
  <si>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</si>
  <si>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</si>
  <si>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</si>
  <si>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</si>
  <si>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</si>
  <si>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</si>
  <si>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</si>
  <si>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</si>
  <si>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</si>
  <si>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</si>
  <si>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</si>
  <si>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</si>
  <si>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</si>
  <si>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</si>
  <si>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</si>
  <si>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</si>
  <si>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</si>
  <si>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</si>
  <si>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</si>
  <si>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</si>
  <si>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</si>
  <si>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</si>
  <si>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</si>
  <si>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</si>
  <si>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</si>
  <si>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</si>
  <si>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</si>
  <si>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</si>
  <si>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</si>
  <si>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</si>
  <si>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</si>
  <si>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</si>
  <si>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</si>
  <si>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</si>
  <si>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</si>
  <si>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</si>
  <si>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</si>
  <si>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</si>
  <si>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</si>
  <si>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</si>
  <si>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</si>
  <si>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</si>
  <si>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</si>
  <si>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</si>
  <si>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</si>
  <si>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</si>
  <si>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</si>
  <si>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</si>
  <si>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</si>
  <si>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</si>
  <si>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</si>
  <si>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</si>
  <si>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</si>
  <si>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</si>
  <si>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</si>
  <si>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</si>
  <si>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</si>
  <si>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</si>
  <si>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</si>
  <si>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</si>
  <si>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</si>
  <si>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</si>
  <si>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</si>
  <si>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</si>
  <si>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</si>
  <si>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</si>
  <si>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</si>
  <si>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</si>
  <si>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</si>
  <si>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</si>
  <si>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</si>
  <si>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</si>
  <si>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</si>
  <si>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</si>
  <si>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</si>
  <si>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</si>
  <si>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</si>
  <si>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</si>
  <si>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</si>
  <si>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</si>
  <si>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</si>
  <si>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</si>
  <si>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</si>
  <si>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</si>
  <si>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</si>
  <si>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</si>
  <si>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</si>
  <si>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</si>
  <si>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</si>
  <si>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</si>
  <si>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</si>
  <si>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</si>
  <si>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</si>
  <si>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</si>
  <si>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</si>
  <si>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</si>
  <si>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</si>
  <si>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</si>
  <si>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</si>
  <si>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</si>
  <si>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</si>
  <si>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</si>
  <si>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</si>
  <si>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</si>
  <si>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</si>
  <si>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</si>
  <si>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</si>
  <si>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</si>
  <si>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</si>
  <si>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</si>
  <si>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</si>
  <si>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</si>
  <si>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</si>
  <si>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</si>
  <si>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</si>
  <si>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</si>
  <si>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</si>
  <si>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</si>
  <si>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</si>
  <si>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</si>
  <si>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</si>
  <si>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</si>
  <si>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</si>
  <si>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</si>
  <si>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</si>
  <si>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</si>
  <si>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</si>
  <si>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</si>
  <si>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</si>
  <si>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</si>
  <si>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</si>
  <si>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</si>
  <si>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</si>
  <si>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</si>
  <si>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</si>
  <si>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</si>
  <si>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</si>
  <si>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</si>
  <si>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</si>
  <si>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</si>
  <si>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</si>
  <si>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</si>
  <si>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</si>
  <si>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</si>
  <si>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</si>
  <si>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</si>
  <si>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</si>
  <si>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</si>
  <si>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</si>
  <si>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</si>
  <si>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</si>
  <si>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</si>
  <si>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</si>
  <si>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</si>
  <si>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</si>
  <si>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</si>
  <si>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</si>
  <si>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</si>
  <si>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</si>
  <si>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</si>
  <si>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</si>
  <si>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午餐專戶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</si>
  <si>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</si>
  <si>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</si>
  <si>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</si>
  <si>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</si>
  <si>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</si>
  <si>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</si>
  <si>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</si>
  <si>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</si>
  <si>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</si>
  <si>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</si>
  <si>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</si>
  <si>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</si>
  <si>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</si>
  <si>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</si>
  <si>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</si>
  <si>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</si>
  <si>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</si>
  <si>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</si>
  <si>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</si>
  <si>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</si>
  <si>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</si>
  <si>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</si>
  <si>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</si>
  <si>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</si>
  <si>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</si>
  <si>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</si>
  <si>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</si>
  <si>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</si>
  <si>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</si>
  <si>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</si>
  <si>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</si>
  <si>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</si>
  <si>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</si>
  <si>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</si>
  <si>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</si>
  <si>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</si>
  <si>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</si>
  <si>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</si>
  <si>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</si>
  <si>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</si>
  <si>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</si>
  <si>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</si>
  <si>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</si>
  <si>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</si>
  <si>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</si>
  <si>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</si>
  <si>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</si>
  <si>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</si>
  <si>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</si>
  <si>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</si>
  <si>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</si>
  <si>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</si>
  <si>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</si>
  <si>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</si>
  <si>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</si>
  <si>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</si>
  <si>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</si>
  <si>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</si>
  <si>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</si>
  <si>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</si>
  <si>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</si>
  <si>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</si>
  <si>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</si>
  <si>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</si>
  <si>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</si>
  <si>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</si>
  <si>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</si>
  <si>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</si>
  <si>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</si>
  <si>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</si>
  <si>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V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</si>
  <si>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</si>
  <si>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</si>
  <si>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</si>
  <si>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V</t>
    <phoneticPr fontId="9" type="noConversion"/>
  </si>
  <si>
    <t>1、報廢財物經惜物網拍賣分配之收入。</t>
    <phoneticPr fontId="9" type="noConversion"/>
  </si>
  <si>
    <t>2、拆除遊戲場設施(單槓、搖椅、不鏽鋼旋轉椅及溜滑梯)報廢物資出售收入31,890元。</t>
    <phoneticPr fontId="9" type="noConversion"/>
  </si>
  <si>
    <t>總計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</si>
  <si>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</si>
  <si>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</si>
  <si>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</si>
  <si>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</si>
  <si>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</si>
  <si>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</si>
  <si>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</si>
  <si>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</si>
  <si>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</si>
  <si>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</si>
  <si>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</si>
  <si>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</si>
  <si>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</si>
  <si>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</si>
  <si>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</si>
  <si>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</si>
  <si>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</si>
  <si>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</si>
  <si>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</si>
  <si>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</si>
  <si>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</si>
  <si>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</si>
  <si>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</si>
  <si>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</si>
  <si>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</si>
  <si>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</si>
  <si>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</si>
  <si>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</si>
  <si>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</si>
  <si>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</si>
  <si>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</si>
  <si>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</si>
  <si>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</si>
  <si>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</si>
  <si>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</si>
  <si>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</si>
  <si>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</si>
  <si>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</si>
  <si>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</si>
  <si>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</si>
  <si>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</si>
  <si>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</si>
  <si>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</si>
  <si>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</si>
  <si>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</si>
  <si>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</si>
  <si>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</si>
  <si>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</si>
  <si>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</si>
  <si>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</si>
  <si>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</si>
  <si>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</si>
  <si>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</si>
  <si>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</si>
  <si>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</si>
  <si>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</si>
  <si>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</si>
  <si>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</si>
  <si>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</si>
  <si>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</si>
  <si>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</si>
  <si>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</si>
  <si>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</si>
  <si>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</si>
  <si>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</si>
  <si>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</si>
  <si>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</si>
  <si>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-1.43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</si>
  <si>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</si>
  <si>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</si>
  <si>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</si>
  <si>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</si>
  <si>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</si>
  <si>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</si>
  <si>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</si>
  <si>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</si>
  <si>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</si>
  <si>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</si>
  <si>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</si>
  <si>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</si>
  <si>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</si>
  <si>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</si>
  <si>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</si>
  <si>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</si>
  <si>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</si>
  <si>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</si>
  <si>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</si>
  <si>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</si>
  <si>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</si>
  <si>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</si>
  <si>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</si>
  <si>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</si>
  <si>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</si>
  <si>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</si>
  <si>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</si>
  <si>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</si>
  <si>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</si>
  <si>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</si>
  <si>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-28.59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</si>
  <si>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</si>
  <si>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</si>
  <si>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</si>
  <si>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</si>
  <si>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</si>
  <si>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</si>
  <si>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</si>
  <si>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</si>
  <si>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</si>
  <si>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</si>
  <si>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</si>
  <si>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</si>
  <si>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</si>
  <si>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</si>
  <si>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</si>
  <si>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</si>
  <si>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</si>
  <si>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</si>
  <si>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</si>
  <si>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</si>
  <si>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</si>
  <si>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</si>
  <si>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</si>
  <si>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</si>
  <si>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</si>
  <si>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</si>
  <si>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</si>
  <si>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</si>
  <si>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</si>
  <si>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</si>
  <si>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</si>
  <si>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</si>
  <si>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</si>
  <si>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</si>
  <si>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</si>
  <si>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</si>
  <si>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</si>
  <si>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</si>
  <si>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</si>
  <si>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</si>
  <si>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</si>
  <si>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</si>
  <si>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</si>
  <si>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</si>
  <si>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-60.88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</si>
  <si>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</si>
  <si>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</si>
  <si>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</si>
  <si>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</si>
  <si>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</si>
  <si>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</si>
  <si>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</si>
  <si>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</si>
  <si>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</si>
  <si>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</si>
  <si>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</si>
  <si>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</si>
  <si>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-27.31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</si>
  <si>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</si>
  <si>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</si>
  <si>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</si>
  <si>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</si>
  <si>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</si>
  <si>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</si>
  <si>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</si>
  <si>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</si>
  <si>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</si>
  <si>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</si>
  <si>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</si>
  <si>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</si>
  <si>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</si>
  <si>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</si>
  <si>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</si>
  <si>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-39.52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</si>
  <si>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</si>
  <si>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</si>
  <si>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</si>
  <si>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</si>
  <si>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</si>
  <si>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</si>
  <si>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</si>
  <si>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</si>
  <si>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</si>
  <si>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</si>
  <si>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</si>
  <si>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</si>
  <si>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</si>
  <si>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-75.03</t>
  </si>
  <si>
    <t>91</t>
  </si>
  <si>
    <t>其他支出</t>
  </si>
  <si>
    <t>91Y</t>
  </si>
  <si>
    <t>合       計</t>
  </si>
  <si>
    <t>-2.80</t>
  </si>
  <si>
    <t>11053017580030100</t>
  </si>
  <si>
    <t>地方教育發展基金</t>
  </si>
  <si>
    <t/>
  </si>
  <si>
    <t>上期結餘</t>
  </si>
  <si>
    <t>110/11/01</t>
  </si>
  <si>
    <t>13990400100453</t>
  </si>
  <si>
    <t>收入數</t>
  </si>
  <si>
    <t>110/11/03</t>
  </si>
  <si>
    <t>00078</t>
  </si>
  <si>
    <t>1100719</t>
  </si>
  <si>
    <t>支付數</t>
  </si>
  <si>
    <t>00079</t>
  </si>
  <si>
    <t>1100720</t>
  </si>
  <si>
    <t>110/11/04</t>
  </si>
  <si>
    <t>00080</t>
  </si>
  <si>
    <t>1101203</t>
  </si>
  <si>
    <t>110/11/11</t>
  </si>
  <si>
    <t>00081</t>
  </si>
  <si>
    <t>1102741</t>
  </si>
  <si>
    <t>110/11/17</t>
  </si>
  <si>
    <t>00082</t>
  </si>
  <si>
    <t>1104054</t>
  </si>
  <si>
    <t>110/11/19</t>
  </si>
  <si>
    <t>00083</t>
  </si>
  <si>
    <t>1104552</t>
  </si>
  <si>
    <t>110/11/30</t>
  </si>
  <si>
    <t>00084</t>
  </si>
  <si>
    <t>1105901</t>
  </si>
  <si>
    <t>00085</t>
  </si>
  <si>
    <t>1105902</t>
  </si>
  <si>
    <t>小計</t>
  </si>
  <si>
    <t>支110年度強制休假補助-杜麗美主任</t>
    <phoneticPr fontId="9" type="noConversion"/>
  </si>
  <si>
    <t>13995200102020</t>
  </si>
  <si>
    <t>13991100102021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</si>
</sst>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5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2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21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82" fontId="7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176" fontId="7" fillId="0" borderId="5" xfId="0" applyNumberFormat="1" applyFont="1" applyBorder="1" applyAlignment="1">
      <alignment vertical="top" wrapText="1" readingOrder="1"/>
    </xf>
    <xf numFmtId="176" fontId="85" fillId="0" borderId="9" xfId="7" applyNumberFormat="1" applyFont="1" applyFill="1" applyBorder="1" applyAlignment="1">
      <alignment vertical="top"/>
    </xf>
    <xf numFmtId="176" fontId="7" fillId="0" borderId="7" xfId="0" applyNumberFormat="1" applyFont="1" applyBorder="1" applyAlignment="1">
      <alignment vertical="top" wrapText="1" readingOrder="1"/>
    </xf>
    <xf numFmtId="3" fontId="26" fillId="0" borderId="1" xfId="3" applyNumberFormat="1" applyFont="1" applyBorder="1" applyAlignment="1">
      <alignment horizontal="left" vertical="center" indent="4"/>
    </xf>
    <xf numFmtId="3" fontId="67" fillId="0" borderId="1" xfId="3" applyNumberFormat="1" applyFont="1" applyBorder="1" applyAlignment="1">
      <alignment horizontal="left" vertical="center" indent="4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180" fontId="92" fillId="0" borderId="1" xfId="7" applyNumberFormat="1" applyFont="1" applyFill="1" applyBorder="1" applyAlignment="1">
      <alignment horizontal="center" vertical="top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百分比" xfId="14" builtinId="5"/>
    <cellStyle name="百分比 2" xfId="9" xr:uid="{00000000-0005-0000-0000-00000E000000}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41092741</v>
          </cell>
        </row>
        <row r="15">
          <cell r="N15">
            <v>2514</v>
          </cell>
        </row>
        <row r="16">
          <cell r="N16">
            <v>2514</v>
          </cell>
        </row>
        <row r="17">
          <cell r="N17">
            <v>7323051</v>
          </cell>
        </row>
        <row r="18">
          <cell r="N18">
            <v>31890</v>
          </cell>
        </row>
        <row r="19">
          <cell r="N19">
            <v>1272586</v>
          </cell>
        </row>
        <row r="20">
          <cell r="N20">
            <v>6018575</v>
          </cell>
        </row>
        <row r="21">
          <cell r="N21">
            <v>33756693</v>
          </cell>
        </row>
        <row r="22">
          <cell r="N22">
            <v>33756693</v>
          </cell>
        </row>
        <row r="23">
          <cell r="N23">
            <v>10483</v>
          </cell>
        </row>
        <row r="24">
          <cell r="N24">
            <v>10483</v>
          </cell>
        </row>
        <row r="25">
          <cell r="N25">
            <v>34579767</v>
          </cell>
        </row>
        <row r="26">
          <cell r="N26">
            <v>31746214</v>
          </cell>
        </row>
        <row r="27">
          <cell r="N27">
            <v>31746214</v>
          </cell>
        </row>
        <row r="28">
          <cell r="N28">
            <v>990177</v>
          </cell>
        </row>
        <row r="29">
          <cell r="N29">
            <v>990177</v>
          </cell>
        </row>
        <row r="30">
          <cell r="N30">
            <v>21549</v>
          </cell>
        </row>
        <row r="31">
          <cell r="N31">
            <v>21549</v>
          </cell>
        </row>
        <row r="32">
          <cell r="N32">
            <v>1813587</v>
          </cell>
        </row>
        <row r="33">
          <cell r="N33">
            <v>1813587</v>
          </cell>
        </row>
        <row r="34">
          <cell r="N34">
            <v>8240</v>
          </cell>
        </row>
        <row r="35">
          <cell r="N35">
            <v>8240</v>
          </cell>
        </row>
        <row r="36">
          <cell r="N36">
            <v>6512974</v>
          </cell>
        </row>
        <row r="37">
          <cell r="N37">
            <v>37061840</v>
          </cell>
        </row>
        <row r="38">
          <cell r="N38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287</v>
      </c>
    </row>
    <row r="4" spans="1:14" ht="36.6">
      <c r="A4" s="552" t="s">
        <v>286</v>
      </c>
      <c r="B4" s="553"/>
      <c r="C4" s="553"/>
      <c r="D4" s="553"/>
      <c r="E4" s="553"/>
      <c r="F4" s="553"/>
      <c r="G4" s="553"/>
      <c r="H4" s="553"/>
      <c r="I4" s="553"/>
      <c r="J4" s="553"/>
      <c r="K4" s="553"/>
      <c r="L4" s="553"/>
      <c r="M4" s="553"/>
      <c r="N4" s="553"/>
    </row>
    <row r="5" spans="1:14" ht="59.25" customHeight="1"/>
    <row r="6" spans="1:14" ht="59.25" customHeight="1"/>
    <row r="7" spans="1:14" ht="36.6">
      <c r="C7" s="554" t="s">
        <v>122</v>
      </c>
      <c r="D7" s="554"/>
      <c r="E7" s="554"/>
      <c r="F7" s="554"/>
      <c r="G7" s="554"/>
      <c r="H7" s="554"/>
      <c r="I7" s="554"/>
      <c r="J7" s="554"/>
      <c r="K7" s="554"/>
      <c r="L7" s="554"/>
    </row>
    <row r="8" spans="1:14" ht="51.75" customHeight="1"/>
    <row r="9" spans="1:14" ht="51.75" customHeight="1"/>
    <row r="10" spans="1:14" s="67" customFormat="1" ht="33">
      <c r="C10" s="332"/>
      <c r="D10" s="332"/>
      <c r="E10" s="555" t="s">
        <v>123</v>
      </c>
      <c r="F10" s="555"/>
      <c r="G10" s="555"/>
      <c r="H10" s="67">
        <v>109</v>
      </c>
      <c r="I10" s="67" t="s">
        <v>124</v>
      </c>
      <c r="K10" s="73" t="s">
        <v>125</v>
      </c>
      <c r="M10" s="67" t="s">
        <v>299</v>
      </c>
    </row>
    <row r="11" spans="1:14">
      <c r="M11" s="62"/>
    </row>
    <row r="15" spans="1:14" s="64" customFormat="1" ht="34.5" customHeight="1">
      <c r="B15" s="556" t="s">
        <v>126</v>
      </c>
      <c r="C15" s="556"/>
      <c r="D15" s="556"/>
      <c r="E15" s="556"/>
      <c r="F15" s="556"/>
      <c r="H15" s="331"/>
      <c r="I15" s="331" t="s">
        <v>127</v>
      </c>
      <c r="J15" s="331"/>
      <c r="K15" s="331"/>
      <c r="L15" s="331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3"/>
  <sheetViews>
    <sheetView view="pageBreakPreview" zoomScaleSheetLayoutView="100" workbookViewId="0">
      <selection activeCell="G16" sqref="G16:AD32"/>
    </sheetView>
  </sheetViews>
  <sheetFormatPr defaultColWidth="9.109375" defaultRowHeight="13.8"/>
  <cols>
    <col min="1" max="1" width="5.44140625" style="484" customWidth="1"/>
    <col min="2" max="2" width="5" style="484" customWidth="1"/>
    <col min="3" max="3" width="20.109375" style="484" customWidth="1"/>
    <col min="4" max="4" width="3.33203125" style="484" customWidth="1"/>
    <col min="5" max="5" width="14" style="62" customWidth="1"/>
    <col min="6" max="6" width="9.109375" style="484"/>
    <col min="7" max="7" width="10.33203125" style="484" customWidth="1"/>
    <col min="8" max="13" width="9.109375" style="484"/>
    <col min="14" max="15" width="3.44140625" style="484" customWidth="1"/>
    <col min="16" max="16" width="5.5546875" style="484" customWidth="1"/>
    <col min="17" max="16384" width="9.109375" style="484"/>
  </cols>
  <sheetData>
    <row r="1" spans="1:16" ht="24.6">
      <c r="A1" s="653" t="str">
        <f>封面!$A$4</f>
        <v>彰化縣地方教育發展基金－彰化縣秀水鄉馬興國民小學</v>
      </c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  <c r="O1" s="653"/>
    </row>
    <row r="2" spans="1:16" ht="19.8">
      <c r="A2" s="654" t="s">
        <v>121</v>
      </c>
      <c r="B2" s="654"/>
      <c r="C2" s="654"/>
      <c r="D2" s="654"/>
      <c r="E2" s="654"/>
      <c r="F2" s="654"/>
      <c r="G2" s="654"/>
      <c r="H2" s="654"/>
      <c r="I2" s="654"/>
      <c r="J2" s="654"/>
      <c r="K2" s="654"/>
      <c r="L2" s="654"/>
      <c r="M2" s="654"/>
      <c r="N2" s="654"/>
      <c r="O2" s="654"/>
    </row>
    <row r="3" spans="1:16" ht="15">
      <c r="A3" s="655" t="str">
        <f>封面!$E$10&amp;封面!$H$10&amp;封面!$I$10&amp;封面!$J$10&amp;封面!$K$10&amp;封面!L10</f>
        <v>中華民國110年11月份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</row>
    <row r="4" spans="1:16" s="485" customFormat="1" ht="16.2">
      <c r="A4" s="485" t="s">
        <v>226</v>
      </c>
      <c r="B4" s="656" t="s">
        <v>227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</row>
    <row r="5" spans="1:16" s="485" customFormat="1" ht="16.2">
      <c r="B5" s="485" t="s">
        <v>455</v>
      </c>
      <c r="C5" s="485" t="s">
        <v>456</v>
      </c>
      <c r="E5" s="60" t="s">
        <v>199</v>
      </c>
    </row>
    <row r="6" spans="1:16" s="485" customFormat="1" ht="16.2">
      <c r="D6" s="105" t="s">
        <v>457</v>
      </c>
      <c r="E6" s="60" t="s">
        <v>200</v>
      </c>
      <c r="H6" s="217" t="s">
        <v>458</v>
      </c>
      <c r="I6" s="345"/>
      <c r="J6" s="345"/>
      <c r="K6" s="345"/>
      <c r="L6" s="345"/>
      <c r="M6" s="345"/>
      <c r="N6" s="345"/>
      <c r="O6" s="345"/>
      <c r="P6" s="345"/>
    </row>
    <row r="7" spans="1:16" s="485" customFormat="1" ht="16.2">
      <c r="B7" s="485" t="s">
        <v>459</v>
      </c>
      <c r="C7" s="485" t="s">
        <v>460</v>
      </c>
      <c r="E7" s="60" t="s">
        <v>199</v>
      </c>
      <c r="H7" s="345"/>
      <c r="I7" s="345"/>
      <c r="J7" s="345"/>
      <c r="K7" s="345"/>
      <c r="L7" s="345"/>
      <c r="M7" s="345"/>
      <c r="N7" s="345"/>
      <c r="O7" s="345"/>
      <c r="P7" s="345"/>
    </row>
    <row r="8" spans="1:16" s="485" customFormat="1" ht="16.2">
      <c r="D8" s="105" t="s">
        <v>461</v>
      </c>
      <c r="E8" s="60" t="s">
        <v>200</v>
      </c>
      <c r="H8" s="217" t="s">
        <v>462</v>
      </c>
      <c r="I8" s="345"/>
      <c r="J8" s="345"/>
      <c r="K8" s="345"/>
      <c r="L8" s="345"/>
      <c r="M8" s="345"/>
      <c r="N8" s="345"/>
      <c r="O8" s="345"/>
      <c r="P8" s="345"/>
    </row>
    <row r="9" spans="1:16" s="485" customFormat="1" ht="31.2" customHeight="1">
      <c r="D9" s="487"/>
      <c r="E9" s="60"/>
      <c r="H9" s="658" t="s">
        <v>463</v>
      </c>
      <c r="I9" s="659"/>
      <c r="J9" s="659"/>
      <c r="K9" s="659"/>
      <c r="L9" s="659"/>
      <c r="M9" s="659"/>
      <c r="N9" s="659"/>
      <c r="O9" s="659"/>
      <c r="P9" s="659"/>
    </row>
    <row r="10" spans="1:16" s="485" customFormat="1" ht="16.2">
      <c r="B10" s="485" t="s">
        <v>301</v>
      </c>
      <c r="C10" s="485" t="s">
        <v>229</v>
      </c>
      <c r="D10" s="105" t="s">
        <v>228</v>
      </c>
      <c r="E10" s="60" t="s">
        <v>199</v>
      </c>
      <c r="H10" s="345"/>
      <c r="I10" s="345"/>
      <c r="J10" s="345"/>
      <c r="K10" s="345"/>
      <c r="L10" s="345"/>
      <c r="M10" s="345"/>
      <c r="N10" s="345"/>
      <c r="O10" s="345"/>
      <c r="P10" s="345"/>
    </row>
    <row r="11" spans="1:16" s="485" customFormat="1" ht="16.2">
      <c r="E11" s="60" t="s">
        <v>200</v>
      </c>
      <c r="H11" s="345" t="s">
        <v>305</v>
      </c>
      <c r="I11" s="345"/>
      <c r="J11" s="345"/>
      <c r="K11" s="345"/>
      <c r="L11" s="345"/>
      <c r="M11" s="345"/>
      <c r="N11" s="345"/>
      <c r="O11" s="345"/>
      <c r="P11" s="345"/>
    </row>
    <row r="12" spans="1:16" s="485" customFormat="1" ht="16.2">
      <c r="B12" s="485" t="s">
        <v>302</v>
      </c>
      <c r="C12" s="485" t="s">
        <v>230</v>
      </c>
      <c r="D12" s="105" t="s">
        <v>228</v>
      </c>
      <c r="E12" s="60" t="s">
        <v>199</v>
      </c>
      <c r="H12" s="345"/>
      <c r="I12" s="345"/>
      <c r="J12" s="345"/>
      <c r="K12" s="345"/>
      <c r="L12" s="345"/>
      <c r="M12" s="345"/>
      <c r="N12" s="345"/>
      <c r="O12" s="345"/>
      <c r="P12" s="345"/>
    </row>
    <row r="13" spans="1:16" s="485" customFormat="1" ht="16.2">
      <c r="E13" s="60" t="s">
        <v>200</v>
      </c>
      <c r="H13" s="345"/>
      <c r="I13" s="345"/>
      <c r="J13" s="345"/>
      <c r="K13" s="345"/>
      <c r="L13" s="345"/>
      <c r="M13" s="345"/>
      <c r="N13" s="345"/>
      <c r="O13" s="345"/>
      <c r="P13" s="345"/>
    </row>
    <row r="14" spans="1:16" s="485" customFormat="1" ht="16.2">
      <c r="B14" s="485" t="s">
        <v>303</v>
      </c>
      <c r="C14" s="486" t="s">
        <v>231</v>
      </c>
      <c r="D14" s="389" t="s">
        <v>228</v>
      </c>
      <c r="E14" s="505" t="s">
        <v>199</v>
      </c>
      <c r="H14" s="345"/>
      <c r="I14" s="345"/>
      <c r="J14" s="345"/>
      <c r="K14" s="345"/>
      <c r="L14" s="345"/>
      <c r="M14" s="345"/>
      <c r="N14" s="345"/>
      <c r="O14" s="345"/>
      <c r="P14" s="345"/>
    </row>
    <row r="15" spans="1:16" s="485" customFormat="1" ht="16.5" customHeight="1">
      <c r="C15" s="486"/>
      <c r="D15" s="486"/>
      <c r="E15" s="506" t="s">
        <v>200</v>
      </c>
      <c r="H15" s="657" t="s">
        <v>306</v>
      </c>
      <c r="I15" s="657"/>
      <c r="J15" s="657"/>
      <c r="K15" s="657"/>
      <c r="L15" s="657"/>
      <c r="M15" s="657"/>
      <c r="N15" s="657"/>
      <c r="O15" s="657"/>
      <c r="P15" s="657"/>
    </row>
    <row r="16" spans="1:16" s="485" customFormat="1" ht="16.5" customHeight="1">
      <c r="C16" s="486"/>
      <c r="D16" s="391"/>
      <c r="E16" s="390"/>
      <c r="H16" s="657"/>
      <c r="I16" s="657"/>
      <c r="J16" s="657"/>
      <c r="K16" s="657"/>
      <c r="L16" s="657"/>
      <c r="M16" s="657"/>
      <c r="N16" s="657"/>
      <c r="O16" s="657"/>
      <c r="P16" s="657"/>
    </row>
    <row r="17" spans="1:16" s="485" customFormat="1" ht="15.75" customHeight="1">
      <c r="C17" s="486"/>
      <c r="D17" s="486"/>
      <c r="E17" s="376"/>
    </row>
    <row r="18" spans="1:16" s="485" customFormat="1" ht="16.2">
      <c r="A18" s="485" t="s">
        <v>232</v>
      </c>
      <c r="B18" s="656" t="s">
        <v>233</v>
      </c>
      <c r="C18" s="656"/>
      <c r="D18" s="656"/>
      <c r="E18" s="656"/>
      <c r="F18" s="656"/>
      <c r="G18" s="656"/>
      <c r="H18" s="656"/>
      <c r="I18" s="656"/>
      <c r="J18" s="656"/>
      <c r="K18" s="656"/>
      <c r="L18" s="656"/>
      <c r="M18" s="656"/>
      <c r="N18" s="656"/>
    </row>
    <row r="19" spans="1:16" s="485" customFormat="1" ht="16.2">
      <c r="B19" s="485" t="s">
        <v>234</v>
      </c>
      <c r="C19" s="486" t="s">
        <v>235</v>
      </c>
      <c r="D19" s="486"/>
      <c r="E19" s="392"/>
    </row>
    <row r="20" spans="1:16" s="485" customFormat="1" ht="16.2">
      <c r="C20" s="486" t="s">
        <v>236</v>
      </c>
      <c r="D20" s="389" t="s">
        <v>228</v>
      </c>
      <c r="E20" s="392" t="s">
        <v>237</v>
      </c>
    </row>
    <row r="21" spans="1:16" s="485" customFormat="1" ht="16.2">
      <c r="C21" s="486"/>
      <c r="D21" s="486"/>
      <c r="E21" s="392" t="s">
        <v>238</v>
      </c>
      <c r="H21" s="217"/>
    </row>
    <row r="22" spans="1:16" s="485" customFormat="1" ht="16.2">
      <c r="B22" s="485" t="s">
        <v>239</v>
      </c>
      <c r="C22" s="486" t="s">
        <v>240</v>
      </c>
      <c r="D22" s="486"/>
      <c r="E22" s="392"/>
    </row>
    <row r="23" spans="1:16" s="485" customFormat="1" ht="16.2">
      <c r="C23" s="486" t="s">
        <v>304</v>
      </c>
      <c r="D23" s="389" t="s">
        <v>228</v>
      </c>
      <c r="E23" s="392" t="s">
        <v>199</v>
      </c>
    </row>
    <row r="24" spans="1:16" s="485" customFormat="1" ht="16.2">
      <c r="E24" s="60" t="s">
        <v>200</v>
      </c>
      <c r="H24" s="652"/>
      <c r="I24" s="652"/>
      <c r="J24" s="652"/>
      <c r="K24" s="652"/>
      <c r="L24" s="652"/>
      <c r="M24" s="652"/>
      <c r="N24" s="652"/>
      <c r="O24" s="652"/>
      <c r="P24" s="652"/>
    </row>
    <row r="25" spans="1:16" s="485" customFormat="1" ht="16.2">
      <c r="E25" s="61"/>
      <c r="H25" s="652"/>
      <c r="I25" s="652"/>
      <c r="J25" s="652"/>
      <c r="K25" s="652"/>
      <c r="L25" s="652"/>
      <c r="M25" s="652"/>
      <c r="N25" s="652"/>
      <c r="O25" s="652"/>
      <c r="P25" s="652"/>
    </row>
    <row r="26" spans="1:16" s="485" customFormat="1" ht="16.2">
      <c r="E26" s="61"/>
    </row>
    <row r="27" spans="1:16" s="485" customFormat="1" ht="16.2">
      <c r="E27" s="61"/>
    </row>
    <row r="28" spans="1:16" s="485" customFormat="1" ht="16.2">
      <c r="E28" s="61"/>
    </row>
    <row r="29" spans="1:16" s="485" customFormat="1" ht="16.2">
      <c r="E29" s="61"/>
    </row>
    <row r="30" spans="1:16" s="485" customFormat="1" ht="16.2">
      <c r="E30" s="61"/>
    </row>
    <row r="31" spans="1:16" s="485" customFormat="1" ht="16.2">
      <c r="E31" s="61"/>
    </row>
    <row r="32" spans="1:16" s="485" customFormat="1" ht="16.2">
      <c r="E32" s="61"/>
    </row>
    <row r="33" spans="5:5" s="485" customFormat="1" ht="16.2">
      <c r="E33" s="61"/>
    </row>
    <row r="34" spans="5:5" s="485" customFormat="1" ht="16.2">
      <c r="E34" s="61"/>
    </row>
    <row r="35" spans="5:5" s="485" customFormat="1" ht="16.2">
      <c r="E35" s="61"/>
    </row>
    <row r="36" spans="5:5" s="485" customFormat="1" ht="16.2">
      <c r="E36" s="61"/>
    </row>
    <row r="37" spans="5:5" s="485" customFormat="1" ht="16.2">
      <c r="E37" s="61"/>
    </row>
    <row r="38" spans="5:5" s="485" customFormat="1" ht="16.2">
      <c r="E38" s="61"/>
    </row>
    <row r="39" spans="5:5" s="485" customFormat="1" ht="16.2">
      <c r="E39" s="61"/>
    </row>
    <row r="40" spans="5:5" s="485" customFormat="1" ht="16.2">
      <c r="E40" s="61"/>
    </row>
    <row r="41" spans="5:5" s="485" customFormat="1" ht="16.2">
      <c r="E41" s="61"/>
    </row>
    <row r="42" spans="5:5" s="485" customFormat="1" ht="16.2">
      <c r="E42" s="61"/>
    </row>
    <row r="43" spans="5:5" s="485" customFormat="1" ht="16.2">
      <c r="E43" s="61"/>
    </row>
    <row r="44" spans="5:5" s="485" customFormat="1" ht="16.2">
      <c r="E44" s="61"/>
    </row>
    <row r="45" spans="5:5" s="485" customFormat="1" ht="16.2">
      <c r="E45" s="61"/>
    </row>
    <row r="46" spans="5:5" s="485" customFormat="1" ht="16.2">
      <c r="E46" s="61"/>
    </row>
    <row r="47" spans="5:5" s="485" customFormat="1" ht="16.2">
      <c r="E47" s="61"/>
    </row>
    <row r="48" spans="5:5" s="485" customFormat="1" ht="16.2">
      <c r="E48" s="61"/>
    </row>
    <row r="49" spans="5:5" s="485" customFormat="1" ht="16.2">
      <c r="E49" s="61"/>
    </row>
    <row r="50" spans="5:5" s="485" customFormat="1" ht="16.2">
      <c r="E50" s="61"/>
    </row>
    <row r="51" spans="5:5" s="485" customFormat="1" ht="16.2">
      <c r="E51" s="61"/>
    </row>
    <row r="52" spans="5:5" s="485" customFormat="1" ht="16.2">
      <c r="E52" s="61"/>
    </row>
    <row r="53" spans="5:5" s="485" customFormat="1" ht="16.2">
      <c r="E53" s="61"/>
    </row>
    <row r="54" spans="5:5" s="485" customFormat="1" ht="16.2">
      <c r="E54" s="61"/>
    </row>
    <row r="55" spans="5:5" s="485" customFormat="1" ht="16.2">
      <c r="E55" s="61"/>
    </row>
    <row r="56" spans="5:5" s="485" customFormat="1" ht="16.2">
      <c r="E56" s="61"/>
    </row>
    <row r="57" spans="5:5" s="485" customFormat="1" ht="16.2">
      <c r="E57" s="61"/>
    </row>
    <row r="58" spans="5:5" s="485" customFormat="1" ht="16.2">
      <c r="E58" s="61"/>
    </row>
    <row r="59" spans="5:5" s="485" customFormat="1" ht="16.2">
      <c r="E59" s="61"/>
    </row>
    <row r="60" spans="5:5" s="485" customFormat="1" ht="16.2">
      <c r="E60" s="61"/>
    </row>
    <row r="61" spans="5:5" s="485" customFormat="1" ht="16.2">
      <c r="E61" s="61"/>
    </row>
    <row r="62" spans="5:5" s="485" customFormat="1" ht="16.2">
      <c r="E62" s="61"/>
    </row>
    <row r="63" spans="5:5" s="485" customFormat="1" ht="16.2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1"/>
  <sheetViews>
    <sheetView showGridLines="0" showZeros="0" tabSelected="1" showOutlineSymbols="0" view="pageBreakPreview" zoomScaleSheetLayoutView="100" workbookViewId="0">
      <pane xSplit="2" ySplit="13" topLeftCell="G14" activePane="bottomRight" state="frozen"/>
      <selection activeCell="G16" sqref="G16:AD32"/>
      <selection pane="topRight" activeCell="G16" sqref="G16:AD32"/>
      <selection pane="bottomLeft" activeCell="G16" sqref="G16:AD32"/>
      <selection pane="bottomRight" activeCell="P19" sqref="P19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627"/>
      <c r="H1" s="627"/>
      <c r="I1" s="559"/>
      <c r="J1" s="559"/>
      <c r="K1" s="559"/>
      <c r="L1" s="559"/>
      <c r="M1" s="559"/>
      <c r="N1" s="559"/>
    </row>
    <row r="2" spans="1:18" ht="19.5" hidden="1" customHeight="1">
      <c r="A2" s="338"/>
      <c r="B2" s="338"/>
      <c r="C2" s="338"/>
      <c r="D2" s="338"/>
      <c r="E2" s="338"/>
      <c r="F2" s="338"/>
      <c r="G2" s="338"/>
      <c r="H2" s="338"/>
    </row>
    <row r="3" spans="1:18" ht="1.8" customHeight="1"/>
    <row r="4" spans="1:18" ht="22.2">
      <c r="A4" s="644" t="s">
        <v>322</v>
      </c>
      <c r="B4" s="644"/>
      <c r="C4" s="644"/>
      <c r="D4" s="644"/>
      <c r="E4" s="644"/>
      <c r="F4" s="644"/>
      <c r="G4" s="644"/>
      <c r="H4" s="644"/>
      <c r="I4" s="559"/>
      <c r="J4" s="559"/>
      <c r="K4" s="559"/>
      <c r="L4" s="559"/>
      <c r="M4" s="559"/>
      <c r="N4" s="559"/>
    </row>
    <row r="5" spans="1:18" ht="6.75" customHeight="1"/>
    <row r="6" spans="1:18" ht="16.2">
      <c r="A6" s="628" t="str">
        <f>封面!$E$10&amp;封面!$H$10&amp;封面!$I$10&amp;封面!$J$10&amp;封面!$K$10&amp;封面!$O$10&amp;"日"</f>
        <v>中華民國110年11月30日</v>
      </c>
      <c r="B6" s="628"/>
      <c r="C6" s="628"/>
      <c r="D6" s="628"/>
      <c r="E6" s="628"/>
      <c r="F6" s="628"/>
      <c r="G6" s="628"/>
      <c r="H6" s="628"/>
      <c r="I6" s="559"/>
      <c r="J6" s="559"/>
      <c r="K6" s="559"/>
      <c r="L6" s="559"/>
      <c r="M6" s="559"/>
      <c r="N6" s="559"/>
    </row>
    <row r="7" spans="1:18" ht="16.2">
      <c r="A7" s="584" t="s">
        <v>41</v>
      </c>
      <c r="B7" s="584"/>
      <c r="C7" s="584"/>
      <c r="D7" s="584"/>
      <c r="E7" s="584"/>
      <c r="F7" s="584"/>
      <c r="G7" s="584"/>
      <c r="H7" s="584"/>
      <c r="I7" s="559"/>
      <c r="J7" s="559"/>
      <c r="K7" s="559"/>
      <c r="L7" s="559"/>
      <c r="M7" s="559"/>
      <c r="N7" s="559"/>
    </row>
    <row r="8" spans="1:18" ht="6" customHeight="1"/>
    <row r="9" spans="1:18" s="351" customFormat="1" ht="24" customHeight="1">
      <c r="A9" s="673" t="s">
        <v>319</v>
      </c>
      <c r="B9" s="674"/>
      <c r="C9" s="674"/>
      <c r="D9" s="674"/>
      <c r="E9" s="674"/>
      <c r="F9" s="673" t="s">
        <v>203</v>
      </c>
      <c r="G9" s="674"/>
      <c r="H9" s="674"/>
      <c r="I9" s="674"/>
      <c r="J9" s="674"/>
      <c r="K9" s="674"/>
      <c r="L9" s="674"/>
      <c r="M9" s="674"/>
      <c r="N9" s="674"/>
      <c r="O9" s="350"/>
      <c r="P9" s="350"/>
      <c r="Q9" s="350"/>
      <c r="R9" s="350"/>
    </row>
    <row r="10" spans="1:18" s="351" customFormat="1" ht="24" customHeight="1">
      <c r="A10" s="674"/>
      <c r="B10" s="674"/>
      <c r="C10" s="674"/>
      <c r="D10" s="674"/>
      <c r="E10" s="674"/>
      <c r="F10" s="670" t="s">
        <v>320</v>
      </c>
      <c r="G10" s="671"/>
      <c r="H10" s="671"/>
      <c r="I10" s="672"/>
      <c r="J10" s="677" t="s">
        <v>321</v>
      </c>
      <c r="K10" s="677"/>
      <c r="L10" s="677"/>
      <c r="M10" s="677"/>
      <c r="N10" s="677"/>
    </row>
    <row r="11" spans="1:18" s="343" customFormat="1" ht="12.75" hidden="1" customHeight="1">
      <c r="A11" s="352"/>
      <c r="B11" s="353"/>
      <c r="C11" s="353"/>
      <c r="D11" s="353"/>
      <c r="E11" s="353"/>
      <c r="F11" s="7"/>
      <c r="G11" s="7"/>
      <c r="H11" s="341"/>
      <c r="I11" s="349"/>
      <c r="J11" s="354"/>
      <c r="K11" s="354"/>
      <c r="L11" s="354"/>
      <c r="M11" s="354"/>
      <c r="N11" s="355"/>
    </row>
    <row r="12" spans="1:18" s="343" customFormat="1" ht="12.75" hidden="1" customHeight="1">
      <c r="A12" s="352"/>
      <c r="B12" s="353"/>
      <c r="C12" s="353"/>
      <c r="D12" s="353"/>
      <c r="E12" s="353"/>
      <c r="F12" s="7"/>
      <c r="G12" s="7"/>
      <c r="H12" s="14"/>
      <c r="I12" s="14"/>
      <c r="J12" s="354"/>
      <c r="K12" s="354"/>
      <c r="L12" s="354"/>
      <c r="M12" s="354"/>
      <c r="N12" s="355"/>
    </row>
    <row r="13" spans="1:18" s="343" customFormat="1" ht="9" hidden="1" customHeight="1">
      <c r="A13" s="352"/>
      <c r="B13" s="353"/>
      <c r="C13" s="393"/>
      <c r="D13" s="393"/>
      <c r="E13" s="393"/>
      <c r="F13" s="7"/>
      <c r="G13" s="7"/>
      <c r="H13" s="11"/>
      <c r="I13" s="11"/>
      <c r="J13" s="354"/>
      <c r="K13" s="354"/>
      <c r="L13" s="354"/>
      <c r="M13" s="354"/>
      <c r="N13" s="355"/>
    </row>
    <row r="14" spans="1:18" s="526" customFormat="1" ht="16.2" customHeight="1">
      <c r="A14" s="675" t="s">
        <v>412</v>
      </c>
      <c r="B14" s="676"/>
      <c r="C14" s="676"/>
      <c r="D14" s="676"/>
      <c r="E14" s="519"/>
      <c r="F14" s="520"/>
      <c r="G14" s="521"/>
      <c r="H14" s="521"/>
      <c r="I14" s="522">
        <f>SUM(I15:I24)/2</f>
        <v>1885219</v>
      </c>
      <c r="J14" s="523"/>
      <c r="K14" s="524"/>
      <c r="L14" s="524"/>
      <c r="M14" s="525"/>
      <c r="N14" s="522">
        <f>I14+[2]收支!$N14</f>
        <v>42977960</v>
      </c>
    </row>
    <row r="15" spans="1:18" s="526" customFormat="1" ht="16.2">
      <c r="A15" s="527"/>
      <c r="B15" s="665" t="s">
        <v>413</v>
      </c>
      <c r="C15" s="665"/>
      <c r="D15" s="665"/>
      <c r="E15" s="666"/>
      <c r="F15" s="528"/>
      <c r="G15" s="529"/>
      <c r="H15" s="529"/>
      <c r="I15" s="530">
        <f>I16</f>
        <v>0</v>
      </c>
      <c r="J15" s="531"/>
      <c r="K15" s="532"/>
      <c r="L15" s="532"/>
      <c r="M15" s="533"/>
      <c r="N15" s="530">
        <f>I15+[2]收支!$N15</f>
        <v>2514</v>
      </c>
    </row>
    <row r="16" spans="1:18" s="482" customFormat="1" ht="16.2">
      <c r="A16" s="481"/>
      <c r="B16" s="476"/>
      <c r="C16" s="477" t="s">
        <v>414</v>
      </c>
      <c r="D16" s="477"/>
      <c r="E16" s="478"/>
      <c r="F16" s="435"/>
      <c r="G16" s="436"/>
      <c r="H16" s="436"/>
      <c r="I16" s="454"/>
      <c r="J16" s="455"/>
      <c r="K16" s="456"/>
      <c r="L16" s="456"/>
      <c r="M16" s="457"/>
      <c r="N16" s="454">
        <f>I16+[2]收支!$N16</f>
        <v>2514</v>
      </c>
    </row>
    <row r="17" spans="1:14" s="526" customFormat="1" ht="16.2">
      <c r="A17" s="534"/>
      <c r="B17" s="665" t="s">
        <v>340</v>
      </c>
      <c r="C17" s="665"/>
      <c r="D17" s="665"/>
      <c r="E17" s="666"/>
      <c r="F17" s="528"/>
      <c r="G17" s="529"/>
      <c r="H17" s="529"/>
      <c r="I17" s="530">
        <f>SUM(I18:I20)</f>
        <v>18219</v>
      </c>
      <c r="J17" s="531"/>
      <c r="K17" s="532"/>
      <c r="L17" s="532"/>
      <c r="M17" s="533"/>
      <c r="N17" s="530">
        <f>I17+[2]收支!$N17</f>
        <v>7341270</v>
      </c>
    </row>
    <row r="18" spans="1:14" s="482" customFormat="1" ht="16.2">
      <c r="A18" s="445"/>
      <c r="B18" s="476"/>
      <c r="C18" s="477" t="s">
        <v>415</v>
      </c>
      <c r="D18" s="477"/>
      <c r="E18" s="478"/>
      <c r="F18" s="435"/>
      <c r="G18" s="436"/>
      <c r="H18" s="436"/>
      <c r="I18" s="454"/>
      <c r="J18" s="455"/>
      <c r="K18" s="456"/>
      <c r="L18" s="456"/>
      <c r="M18" s="457"/>
      <c r="N18" s="454">
        <f>I18+[2]收支!$N18</f>
        <v>31890</v>
      </c>
    </row>
    <row r="19" spans="1:14" s="482" customFormat="1" ht="16.2" customHeight="1">
      <c r="A19" s="445"/>
      <c r="B19" s="476"/>
      <c r="C19" s="477" t="s">
        <v>416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>I19+[2]收支!$N19</f>
        <v>1272586</v>
      </c>
    </row>
    <row r="20" spans="1:14" s="482" customFormat="1" ht="16.2">
      <c r="A20" s="445"/>
      <c r="B20" s="476"/>
      <c r="C20" s="477" t="s">
        <v>417</v>
      </c>
      <c r="D20" s="477"/>
      <c r="E20" s="478"/>
      <c r="F20" s="435"/>
      <c r="G20" s="436"/>
      <c r="H20" s="436"/>
      <c r="I20" s="454">
        <v>18219</v>
      </c>
      <c r="J20" s="455"/>
      <c r="K20" s="456"/>
      <c r="L20" s="456"/>
      <c r="M20" s="457"/>
      <c r="N20" s="454">
        <f>I20+[2]收支!$N20</f>
        <v>6036794</v>
      </c>
    </row>
    <row r="21" spans="1:14" s="536" customFormat="1" ht="16.2">
      <c r="A21" s="535"/>
      <c r="B21" s="665" t="s">
        <v>418</v>
      </c>
      <c r="C21" s="665"/>
      <c r="D21" s="665"/>
      <c r="E21" s="666"/>
      <c r="F21" s="528"/>
      <c r="G21" s="529"/>
      <c r="H21" s="529"/>
      <c r="I21" s="530">
        <f>I22</f>
        <v>1867000</v>
      </c>
      <c r="J21" s="531"/>
      <c r="K21" s="532"/>
      <c r="L21" s="532"/>
      <c r="M21" s="533"/>
      <c r="N21" s="530">
        <f>I21+[2]收支!$N21</f>
        <v>35623693</v>
      </c>
    </row>
    <row r="22" spans="1:14" s="483" customFormat="1" ht="16.2">
      <c r="A22" s="446"/>
      <c r="B22" s="449"/>
      <c r="C22" s="450" t="s">
        <v>419</v>
      </c>
      <c r="D22" s="450"/>
      <c r="E22" s="451"/>
      <c r="F22" s="446"/>
      <c r="G22" s="447"/>
      <c r="H22" s="447"/>
      <c r="I22" s="452">
        <f>1717000+150000</f>
        <v>1867000</v>
      </c>
      <c r="J22" s="445"/>
      <c r="K22" s="449"/>
      <c r="L22" s="449"/>
      <c r="M22" s="453"/>
      <c r="N22" s="452">
        <f>I22+[2]收支!$N22</f>
        <v>35623693</v>
      </c>
    </row>
    <row r="23" spans="1:14" s="536" customFormat="1" ht="16.2">
      <c r="A23" s="535"/>
      <c r="B23" s="537" t="s">
        <v>420</v>
      </c>
      <c r="C23" s="538"/>
      <c r="D23" s="538"/>
      <c r="E23" s="539"/>
      <c r="F23" s="535"/>
      <c r="G23" s="540"/>
      <c r="H23" s="540"/>
      <c r="I23" s="541">
        <f>I24</f>
        <v>0</v>
      </c>
      <c r="J23" s="534"/>
      <c r="K23" s="537"/>
      <c r="L23" s="537"/>
      <c r="M23" s="542"/>
      <c r="N23" s="541">
        <f>I23+[2]收支!$N23</f>
        <v>10483</v>
      </c>
    </row>
    <row r="24" spans="1:14" s="483" customFormat="1" ht="16.2">
      <c r="A24" s="446"/>
      <c r="B24" s="449"/>
      <c r="C24" s="450" t="s">
        <v>421</v>
      </c>
      <c r="D24" s="450"/>
      <c r="E24" s="451"/>
      <c r="F24" s="446"/>
      <c r="G24" s="447"/>
      <c r="H24" s="447"/>
      <c r="I24" s="452"/>
      <c r="J24" s="445"/>
      <c r="K24" s="449"/>
      <c r="L24" s="449"/>
      <c r="M24" s="453"/>
      <c r="N24" s="452">
        <f>I24+[2]收支!$N24</f>
        <v>10483</v>
      </c>
    </row>
    <row r="25" spans="1:14" s="536" customFormat="1" ht="16.2">
      <c r="A25" s="664" t="s">
        <v>341</v>
      </c>
      <c r="B25" s="665"/>
      <c r="C25" s="665"/>
      <c r="D25" s="665"/>
      <c r="E25" s="543"/>
      <c r="F25" s="528"/>
      <c r="G25" s="529"/>
      <c r="H25" s="529"/>
      <c r="I25" s="530">
        <f>SUM(I26:I35)/2</f>
        <v>2597699</v>
      </c>
      <c r="J25" s="531"/>
      <c r="K25" s="532"/>
      <c r="L25" s="532"/>
      <c r="M25" s="533"/>
      <c r="N25" s="530">
        <f>I25+[2]收支!$N25</f>
        <v>37177466</v>
      </c>
    </row>
    <row r="26" spans="1:14" s="536" customFormat="1" ht="16.2">
      <c r="A26" s="535"/>
      <c r="B26" s="665" t="s">
        <v>422</v>
      </c>
      <c r="C26" s="665"/>
      <c r="D26" s="665"/>
      <c r="E26" s="666"/>
      <c r="F26" s="528"/>
      <c r="G26" s="529"/>
      <c r="H26" s="529"/>
      <c r="I26" s="530">
        <f>I27</f>
        <v>2313013</v>
      </c>
      <c r="J26" s="531"/>
      <c r="K26" s="532"/>
      <c r="L26" s="532"/>
      <c r="M26" s="533"/>
      <c r="N26" s="530">
        <f>I26+[2]收支!$N26</f>
        <v>34059227</v>
      </c>
    </row>
    <row r="27" spans="1:14" s="483" customFormat="1" ht="16.2" customHeight="1">
      <c r="A27" s="446"/>
      <c r="B27" s="476"/>
      <c r="C27" s="477" t="s">
        <v>422</v>
      </c>
      <c r="D27" s="477"/>
      <c r="E27" s="478"/>
      <c r="F27" s="435"/>
      <c r="G27" s="436"/>
      <c r="H27" s="436"/>
      <c r="I27" s="454">
        <v>2313013</v>
      </c>
      <c r="J27" s="455"/>
      <c r="K27" s="456"/>
      <c r="L27" s="456"/>
      <c r="M27" s="457"/>
      <c r="N27" s="454">
        <f>I27+[2]收支!$N27</f>
        <v>34059227</v>
      </c>
    </row>
    <row r="28" spans="1:14" s="536" customFormat="1" ht="16.2">
      <c r="A28" s="535"/>
      <c r="B28" s="665" t="s">
        <v>423</v>
      </c>
      <c r="C28" s="665"/>
      <c r="D28" s="665"/>
      <c r="E28" s="666"/>
      <c r="F28" s="528"/>
      <c r="G28" s="529"/>
      <c r="H28" s="529"/>
      <c r="I28" s="530">
        <f>I29</f>
        <v>84427</v>
      </c>
      <c r="J28" s="531"/>
      <c r="K28" s="532"/>
      <c r="L28" s="532"/>
      <c r="M28" s="533"/>
      <c r="N28" s="530">
        <f>I28+[2]收支!$N28</f>
        <v>1074604</v>
      </c>
    </row>
    <row r="29" spans="1:14" s="483" customFormat="1" ht="16.2" customHeight="1">
      <c r="A29" s="446"/>
      <c r="B29" s="476"/>
      <c r="C29" s="477" t="s">
        <v>423</v>
      </c>
      <c r="D29" s="477"/>
      <c r="E29" s="478"/>
      <c r="F29" s="435"/>
      <c r="G29" s="436"/>
      <c r="H29" s="436"/>
      <c r="I29" s="454">
        <v>84427</v>
      </c>
      <c r="J29" s="455"/>
      <c r="K29" s="456"/>
      <c r="L29" s="456"/>
      <c r="M29" s="457"/>
      <c r="N29" s="454">
        <f>I29+[2]收支!$N29</f>
        <v>1074604</v>
      </c>
    </row>
    <row r="30" spans="1:14" s="536" customFormat="1" ht="16.2" customHeight="1">
      <c r="A30" s="535"/>
      <c r="B30" s="544" t="s">
        <v>424</v>
      </c>
      <c r="C30" s="545"/>
      <c r="D30" s="545"/>
      <c r="E30" s="546"/>
      <c r="F30" s="528"/>
      <c r="G30" s="529"/>
      <c r="H30" s="529"/>
      <c r="I30" s="530">
        <f>I31</f>
        <v>15754</v>
      </c>
      <c r="J30" s="531"/>
      <c r="K30" s="532"/>
      <c r="L30" s="532"/>
      <c r="M30" s="533"/>
      <c r="N30" s="530">
        <f>I30+[2]收支!$N30</f>
        <v>37303</v>
      </c>
    </row>
    <row r="31" spans="1:14" s="483" customFormat="1" ht="16.2" customHeight="1">
      <c r="A31" s="446"/>
      <c r="B31" s="476"/>
      <c r="C31" s="477" t="s">
        <v>425</v>
      </c>
      <c r="D31" s="477"/>
      <c r="E31" s="478"/>
      <c r="F31" s="435"/>
      <c r="G31" s="436"/>
      <c r="H31" s="436"/>
      <c r="I31" s="454">
        <v>15754</v>
      </c>
      <c r="J31" s="455"/>
      <c r="K31" s="456"/>
      <c r="L31" s="456"/>
      <c r="M31" s="457"/>
      <c r="N31" s="454">
        <f>I31+[2]收支!$N31</f>
        <v>37303</v>
      </c>
    </row>
    <row r="32" spans="1:14" s="536" customFormat="1" ht="16.2" customHeight="1">
      <c r="A32" s="535"/>
      <c r="B32" s="665" t="s">
        <v>426</v>
      </c>
      <c r="C32" s="665"/>
      <c r="D32" s="665"/>
      <c r="E32" s="666"/>
      <c r="F32" s="528"/>
      <c r="G32" s="529"/>
      <c r="H32" s="529"/>
      <c r="I32" s="530">
        <f>I33</f>
        <v>184505</v>
      </c>
      <c r="J32" s="531"/>
      <c r="K32" s="532"/>
      <c r="L32" s="532"/>
      <c r="M32" s="533"/>
      <c r="N32" s="530">
        <f>I32+[2]收支!$N32</f>
        <v>1998092</v>
      </c>
    </row>
    <row r="33" spans="1:14" s="483" customFormat="1" ht="16.2">
      <c r="A33" s="446"/>
      <c r="B33" s="449"/>
      <c r="C33" s="450" t="s">
        <v>427</v>
      </c>
      <c r="D33" s="450"/>
      <c r="E33" s="451"/>
      <c r="F33" s="446"/>
      <c r="G33" s="447"/>
      <c r="H33" s="447"/>
      <c r="I33" s="454">
        <v>184505</v>
      </c>
      <c r="J33" s="445"/>
      <c r="K33" s="449"/>
      <c r="L33" s="449"/>
      <c r="M33" s="453"/>
      <c r="N33" s="454">
        <f>I33+[2]收支!$N33</f>
        <v>1998092</v>
      </c>
    </row>
    <row r="34" spans="1:14" s="536" customFormat="1" ht="16.2">
      <c r="A34" s="535"/>
      <c r="B34" s="537" t="s">
        <v>428</v>
      </c>
      <c r="C34" s="538"/>
      <c r="D34" s="538"/>
      <c r="E34" s="539"/>
      <c r="F34" s="535"/>
      <c r="G34" s="540"/>
      <c r="H34" s="540"/>
      <c r="I34" s="530">
        <f>I35</f>
        <v>0</v>
      </c>
      <c r="J34" s="534"/>
      <c r="K34" s="537"/>
      <c r="L34" s="537"/>
      <c r="M34" s="542"/>
      <c r="N34" s="530">
        <f>I34+[2]收支!$N34</f>
        <v>8240</v>
      </c>
    </row>
    <row r="35" spans="1:14" s="483" customFormat="1" ht="16.2">
      <c r="A35" s="446"/>
      <c r="B35" s="449"/>
      <c r="C35" s="450" t="s">
        <v>428</v>
      </c>
      <c r="D35" s="450"/>
      <c r="E35" s="451"/>
      <c r="F35" s="446"/>
      <c r="G35" s="447"/>
      <c r="H35" s="447"/>
      <c r="I35" s="454"/>
      <c r="J35" s="445"/>
      <c r="K35" s="449"/>
      <c r="L35" s="449"/>
      <c r="M35" s="453"/>
      <c r="N35" s="454">
        <f>I35+[2]收支!$N35</f>
        <v>8240</v>
      </c>
    </row>
    <row r="36" spans="1:14" s="536" customFormat="1" ht="16.2">
      <c r="A36" s="667" t="s">
        <v>429</v>
      </c>
      <c r="B36" s="668"/>
      <c r="C36" s="669"/>
      <c r="D36" s="669"/>
      <c r="E36" s="543"/>
      <c r="F36" s="528"/>
      <c r="G36" s="529"/>
      <c r="H36" s="529"/>
      <c r="I36" s="530">
        <f>I14-I25</f>
        <v>-712480</v>
      </c>
      <c r="J36" s="531"/>
      <c r="K36" s="532"/>
      <c r="L36" s="532"/>
      <c r="M36" s="533"/>
      <c r="N36" s="530">
        <f>I36+[2]收支!$N36</f>
        <v>5800494</v>
      </c>
    </row>
    <row r="37" spans="1:14" s="483" customFormat="1" ht="16.2">
      <c r="A37" s="660" t="s">
        <v>342</v>
      </c>
      <c r="B37" s="661"/>
      <c r="C37" s="661"/>
      <c r="D37" s="661"/>
      <c r="E37" s="448"/>
      <c r="F37" s="358"/>
      <c r="G37" s="359"/>
      <c r="H37" s="360"/>
      <c r="I37" s="454"/>
      <c r="J37" s="455"/>
      <c r="K37" s="456"/>
      <c r="L37" s="456"/>
      <c r="M37" s="457"/>
      <c r="N37" s="454">
        <f>I37+[2]收支!$N37</f>
        <v>37061840</v>
      </c>
    </row>
    <row r="38" spans="1:14" s="483" customFormat="1" ht="16.2">
      <c r="A38" s="660" t="s">
        <v>343</v>
      </c>
      <c r="B38" s="661"/>
      <c r="C38" s="661"/>
      <c r="D38" s="661"/>
      <c r="E38" s="448"/>
      <c r="F38" s="361"/>
      <c r="G38" s="359"/>
      <c r="H38" s="362"/>
      <c r="I38" s="454"/>
      <c r="J38" s="445"/>
      <c r="K38" s="449"/>
      <c r="L38" s="449"/>
      <c r="M38" s="453"/>
      <c r="N38" s="454">
        <f>I38+[2]收支!$N38</f>
        <v>0</v>
      </c>
    </row>
    <row r="39" spans="1:14" s="518" customFormat="1" ht="16.2">
      <c r="A39" s="662" t="s">
        <v>430</v>
      </c>
      <c r="B39" s="663"/>
      <c r="C39" s="663"/>
      <c r="D39" s="663"/>
      <c r="E39" s="510"/>
      <c r="F39" s="511"/>
      <c r="G39" s="512"/>
      <c r="H39" s="513"/>
      <c r="I39" s="548">
        <f>I36+I37-I38</f>
        <v>-712480</v>
      </c>
      <c r="J39" s="515"/>
      <c r="K39" s="516"/>
      <c r="L39" s="516"/>
      <c r="M39" s="517"/>
      <c r="N39" s="514">
        <f>N36+N37-N38</f>
        <v>42862334</v>
      </c>
    </row>
    <row r="40" spans="1:14" s="482" customFormat="1" ht="12.75" hidden="1" customHeight="1">
      <c r="A40" s="363"/>
      <c r="B40" s="363"/>
      <c r="C40" s="363"/>
      <c r="D40" s="363"/>
      <c r="E40" s="483"/>
      <c r="F40" s="483"/>
      <c r="G40" s="483"/>
      <c r="H40" s="483"/>
      <c r="I40" s="483">
        <f>[3]Sheet1!I27</f>
        <v>0</v>
      </c>
    </row>
    <row r="41" spans="1:14" s="483" customFormat="1" ht="16.2">
      <c r="A41" s="363" t="s">
        <v>431</v>
      </c>
      <c r="B41" s="363"/>
      <c r="C41" s="363"/>
      <c r="D41" s="363"/>
    </row>
  </sheetData>
  <mergeCells count="20">
    <mergeCell ref="B21:E21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8:D38"/>
    <mergeCell ref="A39:D39"/>
    <mergeCell ref="A25:D25"/>
    <mergeCell ref="B26:E26"/>
    <mergeCell ref="B32:E32"/>
    <mergeCell ref="A36:D36"/>
    <mergeCell ref="A37:D37"/>
    <mergeCell ref="B28:E28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G16" sqref="G16:AD32"/>
      <selection pane="topRight" activeCell="G16" sqref="G16:AD32"/>
      <selection pane="bottomLeft" activeCell="G16" sqref="G16:AD32"/>
      <selection pane="bottomRight" activeCell="G16" sqref="G16:AD32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559"/>
      <c r="H1" s="559"/>
      <c r="I1" s="559"/>
    </row>
    <row r="2" spans="1:10" ht="19.5" hidden="1" customHeight="1">
      <c r="A2" s="338"/>
      <c r="B2" s="338"/>
      <c r="C2" s="338"/>
      <c r="D2" s="338"/>
      <c r="E2" s="338"/>
      <c r="F2" s="338"/>
    </row>
    <row r="3" spans="1:10" ht="14.25" hidden="1" customHeight="1"/>
    <row r="4" spans="1:10" ht="22.2">
      <c r="A4" s="644" t="s">
        <v>323</v>
      </c>
      <c r="B4" s="644"/>
      <c r="C4" s="644"/>
      <c r="D4" s="644"/>
      <c r="E4" s="644"/>
      <c r="F4" s="644"/>
      <c r="G4" s="559"/>
      <c r="H4" s="559"/>
      <c r="I4" s="559"/>
    </row>
    <row r="5" spans="1:10" ht="6.75" customHeight="1"/>
    <row r="6" spans="1:10" ht="16.2">
      <c r="A6" s="628" t="str">
        <f>封面!$E$10&amp;封面!$H$10&amp;封面!$I$10&amp;封面!$J$10&amp;封面!$K$10&amp;封面!L10</f>
        <v>中華民國110年11月份</v>
      </c>
      <c r="B6" s="628"/>
      <c r="C6" s="628"/>
      <c r="D6" s="628"/>
      <c r="E6" s="628"/>
      <c r="F6" s="628"/>
      <c r="G6" s="559"/>
      <c r="H6" s="559"/>
      <c r="I6" s="559"/>
    </row>
    <row r="7" spans="1:10" ht="16.2">
      <c r="A7" s="584" t="s">
        <v>41</v>
      </c>
      <c r="B7" s="584"/>
      <c r="C7" s="584"/>
      <c r="D7" s="584"/>
      <c r="E7" s="584"/>
      <c r="F7" s="584"/>
      <c r="G7" s="559"/>
      <c r="H7" s="559"/>
      <c r="I7" s="559"/>
    </row>
    <row r="8" spans="1:10" ht="6" customHeight="1"/>
    <row r="9" spans="1:10" s="364" customFormat="1" ht="42.75" customHeight="1">
      <c r="A9" s="674" t="s">
        <v>324</v>
      </c>
      <c r="B9" s="674"/>
      <c r="C9" s="365" t="s">
        <v>325</v>
      </c>
      <c r="D9" s="366" t="s">
        <v>326</v>
      </c>
      <c r="E9" s="366" t="s">
        <v>327</v>
      </c>
      <c r="F9" s="366"/>
      <c r="G9" s="674" t="s">
        <v>328</v>
      </c>
      <c r="H9" s="689"/>
      <c r="I9" s="689"/>
    </row>
    <row r="10" spans="1:10" s="343" customFormat="1" ht="12.75" hidden="1" customHeight="1">
      <c r="A10" s="367"/>
      <c r="B10" s="367"/>
      <c r="C10" s="368"/>
      <c r="D10" s="368"/>
      <c r="E10" s="340"/>
      <c r="F10" s="340"/>
      <c r="G10" s="690" t="s">
        <v>328</v>
      </c>
      <c r="H10" s="691"/>
      <c r="I10" s="691"/>
    </row>
    <row r="11" spans="1:10" s="343" customFormat="1" ht="12.75" hidden="1" customHeight="1">
      <c r="A11" s="367"/>
      <c r="B11" s="367"/>
      <c r="C11" s="368"/>
      <c r="D11" s="368"/>
      <c r="E11" s="368"/>
      <c r="F11" s="368"/>
      <c r="G11" s="690" t="s">
        <v>328</v>
      </c>
      <c r="H11" s="691"/>
      <c r="I11" s="691"/>
    </row>
    <row r="12" spans="1:10" s="343" customFormat="1" ht="9" hidden="1" customHeight="1">
      <c r="A12" s="367"/>
      <c r="B12" s="367"/>
      <c r="C12" s="368"/>
      <c r="D12" s="368"/>
      <c r="E12" s="368"/>
      <c r="F12" s="368"/>
      <c r="G12" s="690" t="s">
        <v>328</v>
      </c>
      <c r="H12" s="691"/>
      <c r="I12" s="691"/>
    </row>
    <row r="13" spans="1:10" s="482" customFormat="1" ht="16.2">
      <c r="A13" s="692" t="s">
        <v>432</v>
      </c>
      <c r="B13" s="692"/>
      <c r="C13" s="466">
        <f>SUM(C14:C17)</f>
        <v>35674108</v>
      </c>
      <c r="D13" s="466">
        <f t="shared" ref="D13:E13" si="0">SUM(D14:D17)</f>
        <v>7303852</v>
      </c>
      <c r="E13" s="466">
        <f t="shared" si="0"/>
        <v>42977960</v>
      </c>
      <c r="F13" s="369"/>
      <c r="G13" s="688" t="s">
        <v>433</v>
      </c>
      <c r="H13" s="686"/>
      <c r="I13" s="687"/>
      <c r="J13" s="482">
        <f>D13</f>
        <v>7303852</v>
      </c>
    </row>
    <row r="14" spans="1:10" s="482" customFormat="1" ht="16.2">
      <c r="A14" s="356"/>
      <c r="B14" s="480" t="s">
        <v>434</v>
      </c>
      <c r="C14" s="458">
        <v>2514</v>
      </c>
      <c r="D14" s="458"/>
      <c r="E14" s="467">
        <f>C14+D14</f>
        <v>2514</v>
      </c>
      <c r="F14" s="369"/>
      <c r="G14" s="357"/>
      <c r="H14" s="686" t="s">
        <v>434</v>
      </c>
      <c r="I14" s="687"/>
      <c r="J14" s="482">
        <f t="shared" ref="J14:J31" si="1">D14</f>
        <v>0</v>
      </c>
    </row>
    <row r="15" spans="1:10" s="482" customFormat="1" ht="16.2">
      <c r="A15" s="356"/>
      <c r="B15" s="480" t="s">
        <v>435</v>
      </c>
      <c r="C15" s="458">
        <v>37418</v>
      </c>
      <c r="D15" s="458">
        <v>7303852</v>
      </c>
      <c r="E15" s="467">
        <f t="shared" ref="E15:E16" si="2">C15+D15</f>
        <v>7341270</v>
      </c>
      <c r="F15" s="369"/>
      <c r="G15" s="357"/>
      <c r="H15" s="686" t="s">
        <v>436</v>
      </c>
      <c r="I15" s="687"/>
      <c r="J15" s="482">
        <f t="shared" si="1"/>
        <v>7303852</v>
      </c>
    </row>
    <row r="16" spans="1:10" s="482" customFormat="1" ht="16.2">
      <c r="A16" s="356"/>
      <c r="B16" s="480" t="s">
        <v>437</v>
      </c>
      <c r="C16" s="458">
        <f>35473693+150000</f>
        <v>35623693</v>
      </c>
      <c r="D16" s="458"/>
      <c r="E16" s="467">
        <f t="shared" si="2"/>
        <v>35623693</v>
      </c>
      <c r="F16" s="369"/>
      <c r="G16" s="357"/>
      <c r="H16" s="686" t="s">
        <v>21</v>
      </c>
      <c r="I16" s="687"/>
      <c r="J16" s="482">
        <f t="shared" si="1"/>
        <v>0</v>
      </c>
    </row>
    <row r="17" spans="1:10" s="483" customFormat="1" ht="16.2">
      <c r="A17" s="356"/>
      <c r="B17" s="480" t="s">
        <v>438</v>
      </c>
      <c r="C17" s="458">
        <v>10483</v>
      </c>
      <c r="D17" s="458"/>
      <c r="E17" s="467">
        <f>C17+D17</f>
        <v>10483</v>
      </c>
      <c r="F17" s="369"/>
      <c r="G17" s="357"/>
      <c r="H17" s="686" t="s">
        <v>439</v>
      </c>
      <c r="I17" s="687"/>
      <c r="J17" s="482">
        <f t="shared" si="1"/>
        <v>0</v>
      </c>
    </row>
    <row r="18" spans="1:10" s="483" customFormat="1" ht="16.2">
      <c r="A18" s="688" t="s">
        <v>440</v>
      </c>
      <c r="B18" s="687"/>
      <c r="C18" s="468">
        <f>SUM(C19:C27)</f>
        <v>35142071</v>
      </c>
      <c r="D18" s="468">
        <f t="shared" ref="D18:E18" si="3">SUM(D19:D27)</f>
        <v>2035395</v>
      </c>
      <c r="E18" s="468">
        <f t="shared" si="3"/>
        <v>37177466</v>
      </c>
      <c r="F18" s="370"/>
      <c r="G18" s="688" t="s">
        <v>441</v>
      </c>
      <c r="H18" s="686"/>
      <c r="I18" s="687"/>
      <c r="J18" s="482">
        <f t="shared" si="1"/>
        <v>2035395</v>
      </c>
    </row>
    <row r="19" spans="1:10" s="483" customFormat="1" ht="16.2">
      <c r="A19" s="356"/>
      <c r="B19" s="480" t="s">
        <v>442</v>
      </c>
      <c r="C19" s="458">
        <v>34059227</v>
      </c>
      <c r="D19" s="458"/>
      <c r="E19" s="467">
        <f>C19+D19</f>
        <v>34059227</v>
      </c>
      <c r="F19" s="369"/>
      <c r="G19" s="357"/>
      <c r="H19" s="686" t="s">
        <v>443</v>
      </c>
      <c r="I19" s="687"/>
      <c r="J19" s="482">
        <f t="shared" si="1"/>
        <v>0</v>
      </c>
    </row>
    <row r="20" spans="1:10" s="483" customFormat="1" ht="16.2">
      <c r="A20" s="356"/>
      <c r="B20" s="480" t="s">
        <v>444</v>
      </c>
      <c r="C20" s="458">
        <v>728404</v>
      </c>
      <c r="D20" s="458">
        <v>346200</v>
      </c>
      <c r="E20" s="467">
        <f>C20+D20</f>
        <v>1074604</v>
      </c>
      <c r="F20" s="369"/>
      <c r="G20" s="357"/>
      <c r="H20" s="479" t="s">
        <v>445</v>
      </c>
      <c r="I20" s="480"/>
      <c r="J20" s="482"/>
    </row>
    <row r="21" spans="1:10" s="483" customFormat="1" ht="16.2">
      <c r="A21" s="356"/>
      <c r="B21" s="480" t="s">
        <v>446</v>
      </c>
      <c r="C21" s="458">
        <v>58685</v>
      </c>
      <c r="D21" s="458">
        <v>-58685</v>
      </c>
      <c r="E21" s="467">
        <f t="shared" ref="E21:E31" si="4">C21+D21</f>
        <v>0</v>
      </c>
      <c r="F21" s="369"/>
      <c r="G21" s="357"/>
      <c r="H21" s="479"/>
      <c r="I21" s="480"/>
      <c r="J21" s="482"/>
    </row>
    <row r="22" spans="1:10" s="483" customFormat="1" ht="16.2">
      <c r="A22" s="356"/>
      <c r="B22" s="480" t="s">
        <v>447</v>
      </c>
      <c r="C22" s="458">
        <v>273305</v>
      </c>
      <c r="D22" s="458">
        <v>-273305</v>
      </c>
      <c r="E22" s="467">
        <f t="shared" si="4"/>
        <v>0</v>
      </c>
      <c r="F22" s="369"/>
      <c r="G22" s="357"/>
      <c r="H22" s="479"/>
      <c r="I22" s="480"/>
      <c r="J22" s="482"/>
    </row>
    <row r="23" spans="1:10" s="483" customFormat="1" ht="16.2">
      <c r="A23" s="356"/>
      <c r="B23" s="480" t="s">
        <v>448</v>
      </c>
      <c r="C23" s="458">
        <v>300</v>
      </c>
      <c r="D23" s="458">
        <v>-300</v>
      </c>
      <c r="E23" s="467">
        <f t="shared" si="4"/>
        <v>0</v>
      </c>
      <c r="F23" s="369"/>
      <c r="G23" s="357"/>
      <c r="H23" s="479"/>
      <c r="I23" s="480"/>
      <c r="J23" s="482"/>
    </row>
    <row r="24" spans="1:10" s="483" customFormat="1" ht="32.4">
      <c r="A24" s="356"/>
      <c r="B24" s="480" t="s">
        <v>449</v>
      </c>
      <c r="C24" s="458">
        <v>13910</v>
      </c>
      <c r="D24" s="458">
        <v>-13910</v>
      </c>
      <c r="E24" s="467">
        <f t="shared" si="4"/>
        <v>0</v>
      </c>
      <c r="F24" s="369"/>
      <c r="G24" s="357"/>
      <c r="H24" s="479"/>
      <c r="I24" s="480"/>
      <c r="J24" s="482"/>
    </row>
    <row r="25" spans="1:10" s="483" customFormat="1" ht="16.2">
      <c r="A25" s="356"/>
      <c r="B25" s="480"/>
      <c r="C25" s="458"/>
      <c r="D25" s="458">
        <v>37303</v>
      </c>
      <c r="E25" s="467">
        <f t="shared" si="4"/>
        <v>37303</v>
      </c>
      <c r="F25" s="369"/>
      <c r="G25" s="357"/>
      <c r="H25" s="479" t="s">
        <v>450</v>
      </c>
      <c r="I25" s="480"/>
      <c r="J25" s="482"/>
    </row>
    <row r="26" spans="1:10" s="483" customFormat="1" ht="16.2">
      <c r="A26" s="356"/>
      <c r="B26" s="372"/>
      <c r="C26" s="458"/>
      <c r="D26" s="458">
        <v>1998092</v>
      </c>
      <c r="E26" s="467">
        <f t="shared" si="4"/>
        <v>1998092</v>
      </c>
      <c r="F26" s="369"/>
      <c r="G26" s="357"/>
      <c r="H26" s="686" t="s">
        <v>451</v>
      </c>
      <c r="I26" s="687"/>
      <c r="J26" s="482">
        <f t="shared" si="1"/>
        <v>1998092</v>
      </c>
    </row>
    <row r="27" spans="1:10" s="483" customFormat="1" ht="16.2">
      <c r="A27" s="356"/>
      <c r="B27" s="372" t="s">
        <v>452</v>
      </c>
      <c r="C27" s="458">
        <v>8240</v>
      </c>
      <c r="D27" s="458"/>
      <c r="E27" s="467">
        <f t="shared" si="4"/>
        <v>8240</v>
      </c>
      <c r="F27" s="369"/>
      <c r="G27" s="357"/>
      <c r="H27" s="479" t="s">
        <v>453</v>
      </c>
      <c r="I27" s="480"/>
      <c r="J27" s="482"/>
    </row>
    <row r="28" spans="1:10" s="483" customFormat="1" ht="16.2">
      <c r="A28" s="678" t="s">
        <v>344</v>
      </c>
      <c r="B28" s="678"/>
      <c r="C28" s="466">
        <f>C13-C18</f>
        <v>532037</v>
      </c>
      <c r="D28" s="466">
        <f t="shared" ref="D28:E28" si="5">D13-D18</f>
        <v>5268457</v>
      </c>
      <c r="E28" s="466">
        <f t="shared" si="5"/>
        <v>5800494</v>
      </c>
      <c r="F28" s="369"/>
      <c r="G28" s="679" t="s">
        <v>344</v>
      </c>
      <c r="H28" s="680"/>
      <c r="I28" s="681"/>
      <c r="J28" s="482">
        <f t="shared" si="1"/>
        <v>5268457</v>
      </c>
    </row>
    <row r="29" spans="1:10" s="483" customFormat="1" ht="16.2">
      <c r="A29" s="678" t="s">
        <v>26</v>
      </c>
      <c r="B29" s="678"/>
      <c r="C29" s="459">
        <v>2475762</v>
      </c>
      <c r="D29" s="459">
        <v>34586078</v>
      </c>
      <c r="E29" s="468">
        <f t="shared" si="4"/>
        <v>37061840</v>
      </c>
      <c r="F29" s="370"/>
      <c r="G29" s="679" t="s">
        <v>342</v>
      </c>
      <c r="H29" s="680"/>
      <c r="I29" s="681"/>
      <c r="J29" s="482">
        <f t="shared" si="1"/>
        <v>34586078</v>
      </c>
    </row>
    <row r="30" spans="1:10" s="483" customFormat="1" ht="16.2">
      <c r="A30" s="678" t="s">
        <v>343</v>
      </c>
      <c r="B30" s="678"/>
      <c r="C30" s="465"/>
      <c r="D30" s="465"/>
      <c r="E30" s="466">
        <f t="shared" si="4"/>
        <v>0</v>
      </c>
      <c r="F30" s="369"/>
      <c r="G30" s="679" t="s">
        <v>343</v>
      </c>
      <c r="H30" s="680"/>
      <c r="I30" s="681"/>
      <c r="J30" s="482">
        <f t="shared" si="1"/>
        <v>0</v>
      </c>
    </row>
    <row r="31" spans="1:10" s="483" customFormat="1" ht="16.2">
      <c r="A31" s="682" t="s">
        <v>28</v>
      </c>
      <c r="B31" s="682"/>
      <c r="C31" s="469">
        <f>C28+C29-C30</f>
        <v>3007799</v>
      </c>
      <c r="D31" s="469">
        <f t="shared" ref="D31" si="6">D28+D29-D30</f>
        <v>39854535</v>
      </c>
      <c r="E31" s="469">
        <f t="shared" si="4"/>
        <v>42862334</v>
      </c>
      <c r="F31" s="371"/>
      <c r="G31" s="683" t="s">
        <v>345</v>
      </c>
      <c r="H31" s="684"/>
      <c r="I31" s="685"/>
      <c r="J31" s="482">
        <f t="shared" si="1"/>
        <v>39854535</v>
      </c>
    </row>
    <row r="32" spans="1:10" s="482" customFormat="1" ht="12.75" hidden="1" customHeight="1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>
      <c r="A33" s="363" t="s">
        <v>454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G16" sqref="G16:AD32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94" t="str">
        <f>封面!$A$4</f>
        <v>彰化縣地方教育發展基金－彰化縣秀水鄉馬興國民小學</v>
      </c>
      <c r="B1" s="695"/>
      <c r="C1" s="695"/>
    </row>
    <row r="2" spans="1:5" ht="25.5" customHeight="1">
      <c r="A2" s="696" t="s">
        <v>75</v>
      </c>
      <c r="B2" s="696"/>
      <c r="C2" s="696"/>
    </row>
    <row r="3" spans="1:5" ht="24" customHeight="1">
      <c r="A3" s="697" t="str">
        <f>封面!$E$10&amp;封面!$H$10&amp;封面!$I$10&amp;封面!$J$10&amp;封面!$K$10&amp;封面!$O$10&amp;"日"</f>
        <v>中華民國110年11月30日</v>
      </c>
      <c r="B3" s="697"/>
      <c r="C3" s="697"/>
    </row>
    <row r="4" spans="1:5" s="25" customFormat="1" ht="23.25" customHeight="1">
      <c r="A4" s="698"/>
      <c r="B4" s="698" t="s">
        <v>76</v>
      </c>
      <c r="C4" s="698"/>
    </row>
    <row r="5" spans="1:5" s="25" customFormat="1" ht="23.25" customHeight="1">
      <c r="A5" s="698"/>
      <c r="B5" s="26" t="s">
        <v>77</v>
      </c>
      <c r="C5" s="24" t="s">
        <v>78</v>
      </c>
    </row>
    <row r="6" spans="1:5" ht="24" customHeight="1">
      <c r="A6" s="27" t="s">
        <v>79</v>
      </c>
      <c r="B6" s="113"/>
      <c r="C6" s="114">
        <f>B7</f>
        <v>2967799</v>
      </c>
    </row>
    <row r="7" spans="1:5" ht="24" customHeight="1">
      <c r="A7" s="225" t="s">
        <v>201</v>
      </c>
      <c r="B7" s="113">
        <f>VLOOKUP("銀行存款-縣庫存款",平衡!$E$13:$H$47,4,0)</f>
        <v>2967799</v>
      </c>
      <c r="C7" s="115"/>
    </row>
    <row r="8" spans="1:5" ht="24" customHeight="1">
      <c r="A8" s="106" t="s">
        <v>157</v>
      </c>
      <c r="B8" s="113"/>
      <c r="C8" s="388">
        <f>SUM(B9:B14)</f>
        <v>16000</v>
      </c>
    </row>
    <row r="9" spans="1:5" ht="24" hidden="1" customHeight="1">
      <c r="A9" s="27" t="s">
        <v>80</v>
      </c>
      <c r="B9" s="113"/>
      <c r="C9" s="115"/>
    </row>
    <row r="10" spans="1:5" ht="24" hidden="1" customHeight="1">
      <c r="A10" s="27" t="s">
        <v>81</v>
      </c>
      <c r="B10" s="113"/>
      <c r="C10" s="115"/>
    </row>
    <row r="11" spans="1:5" ht="24" customHeight="1">
      <c r="A11" s="550" t="s">
        <v>688</v>
      </c>
      <c r="B11" s="113">
        <v>16000</v>
      </c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74"/>
      <c r="D13" s="375"/>
      <c r="E13" s="375"/>
    </row>
    <row r="14" spans="1:5" ht="24" customHeight="1">
      <c r="A14" s="226"/>
      <c r="B14" s="113"/>
      <c r="C14" s="374"/>
      <c r="D14" s="375"/>
      <c r="E14" s="375"/>
    </row>
    <row r="15" spans="1:5" ht="24" customHeight="1">
      <c r="A15" s="27" t="s">
        <v>82</v>
      </c>
      <c r="B15" s="113"/>
      <c r="C15" s="388">
        <f>SUM(B16:B17)</f>
        <v>222000</v>
      </c>
      <c r="D15" s="375"/>
      <c r="E15" s="375"/>
    </row>
    <row r="16" spans="1:5" ht="24" customHeight="1">
      <c r="A16" s="551" t="str">
        <f>IF(B16&gt;0,封面!J10+1&amp;"月公庫撥款收入","")</f>
        <v>12月公庫撥款收入</v>
      </c>
      <c r="B16" s="113">
        <f>縣庫對帳!G12</f>
        <v>222000</v>
      </c>
      <c r="C16" s="374"/>
      <c r="D16" s="375"/>
      <c r="E16" s="375"/>
    </row>
    <row r="17" spans="1:5" ht="24" customHeight="1">
      <c r="A17" s="225"/>
      <c r="B17" s="113"/>
      <c r="C17" s="374"/>
      <c r="D17" s="375"/>
      <c r="E17" s="375"/>
    </row>
    <row r="18" spans="1:5" ht="24" customHeight="1">
      <c r="A18" s="27" t="s">
        <v>83</v>
      </c>
      <c r="B18" s="113"/>
      <c r="C18" s="388">
        <f>SUM(B19:B20)</f>
        <v>0</v>
      </c>
      <c r="D18" s="375"/>
      <c r="E18" s="375"/>
    </row>
    <row r="19" spans="1:5" ht="24" customHeight="1">
      <c r="A19" s="226"/>
      <c r="B19" s="113"/>
      <c r="C19" s="374"/>
      <c r="D19" s="375"/>
      <c r="E19" s="375"/>
    </row>
    <row r="20" spans="1:5" ht="24" customHeight="1">
      <c r="A20" s="225"/>
      <c r="B20" s="113"/>
      <c r="C20" s="374"/>
      <c r="D20" s="375"/>
      <c r="E20" s="375"/>
    </row>
    <row r="21" spans="1:5" ht="24" customHeight="1">
      <c r="A21" s="27" t="s">
        <v>84</v>
      </c>
      <c r="B21" s="113"/>
      <c r="C21" s="388">
        <f>SUM(B22:B23)</f>
        <v>0</v>
      </c>
      <c r="D21" s="375"/>
      <c r="E21" s="375"/>
    </row>
    <row r="22" spans="1:5" ht="24" customHeight="1">
      <c r="A22" s="225"/>
      <c r="B22" s="113"/>
      <c r="C22" s="374"/>
      <c r="D22" s="375"/>
      <c r="E22" s="375"/>
    </row>
    <row r="23" spans="1:5" ht="24" customHeight="1">
      <c r="A23" s="225"/>
      <c r="B23" s="113"/>
      <c r="C23" s="115"/>
    </row>
    <row r="24" spans="1:5" ht="24" customHeight="1">
      <c r="A24" s="27" t="s">
        <v>188</v>
      </c>
      <c r="B24" s="113"/>
      <c r="C24" s="114">
        <f>C6+C8+C15-C18-C21</f>
        <v>3205799</v>
      </c>
      <c r="D24" s="23">
        <f>VLOOKUP(1,縣庫對帳!$A$4:$L$100,12)</f>
        <v>3205799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693"/>
      <c r="B27" s="693"/>
      <c r="C27" s="693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G16" sqref="G16:AD32"/>
      <selection pane="topRight" activeCell="G16" sqref="G16:AD32"/>
      <selection pane="bottomLeft" activeCell="G16" sqref="G16:AD32"/>
      <selection pane="bottomRight" activeCell="G16" sqref="G16:AD32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15.3320312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2.109375" style="30" customWidth="1"/>
    <col min="10" max="10" width="12.88671875" style="30" customWidth="1"/>
    <col min="11" max="11" width="11.6640625" style="30" customWidth="1"/>
    <col min="12" max="12" width="11.1093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4.6">
      <c r="A1" s="165"/>
      <c r="B1" s="699" t="s">
        <v>85</v>
      </c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5"/>
      <c r="B2" s="700" t="str">
        <f>封面!$E$10&amp;封面!$H$10&amp;封面!$I$10&amp;封面!$J$10&amp;封面!$K$10&amp;封面!L10</f>
        <v>中華民國110年11月份</v>
      </c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154"/>
      <c r="N2" s="167" t="s">
        <v>163</v>
      </c>
      <c r="O2" s="167"/>
      <c r="P2" s="167" t="s">
        <v>162</v>
      </c>
      <c r="Q2" s="57"/>
      <c r="R2" s="57"/>
      <c r="S2" s="57"/>
      <c r="T2" s="57"/>
      <c r="U2" s="57"/>
      <c r="V2" s="57"/>
    </row>
    <row r="3" spans="1:22" s="72" customFormat="1">
      <c r="B3" s="187" t="s">
        <v>176</v>
      </c>
      <c r="C3" s="187" t="s">
        <v>177</v>
      </c>
      <c r="D3" s="187" t="s">
        <v>178</v>
      </c>
      <c r="E3" s="188" t="s">
        <v>179</v>
      </c>
      <c r="F3" s="188" t="s">
        <v>86</v>
      </c>
      <c r="G3" s="189" t="s">
        <v>180</v>
      </c>
      <c r="H3" s="190" t="s">
        <v>181</v>
      </c>
      <c r="I3" s="190" t="s">
        <v>4</v>
      </c>
      <c r="J3" s="190" t="s">
        <v>182</v>
      </c>
      <c r="K3" s="190" t="s">
        <v>183</v>
      </c>
      <c r="L3" s="190" t="s">
        <v>87</v>
      </c>
      <c r="M3" s="70"/>
      <c r="N3" s="201">
        <f>VLOOKUP(1,$A$4:$L$98,10,0)-N4+N5-P9</f>
        <v>35674108</v>
      </c>
      <c r="O3" s="201"/>
      <c r="P3" s="201">
        <f>VLOOKUP(1,$A$4:$L$98,11,0)-P4+P5-P6+P7-P8-P9</f>
        <v>35142071</v>
      </c>
      <c r="Q3" s="71"/>
    </row>
    <row r="4" spans="1:22" s="53" customFormat="1">
      <c r="A4" s="69"/>
      <c r="B4" s="191" t="s">
        <v>657</v>
      </c>
      <c r="C4" s="192" t="s">
        <v>658</v>
      </c>
      <c r="D4" s="192" t="s">
        <v>659</v>
      </c>
      <c r="E4" s="192" t="s">
        <v>659</v>
      </c>
      <c r="F4" s="192" t="s">
        <v>659</v>
      </c>
      <c r="G4" s="192" t="s">
        <v>659</v>
      </c>
      <c r="H4" s="192" t="s">
        <v>660</v>
      </c>
      <c r="I4" s="193" t="s">
        <v>659</v>
      </c>
      <c r="J4" s="193">
        <v>36282870</v>
      </c>
      <c r="K4" s="193">
        <v>32784631</v>
      </c>
      <c r="L4" s="193">
        <v>3498239</v>
      </c>
      <c r="M4" s="224" t="s">
        <v>190</v>
      </c>
      <c r="N4" s="202">
        <v>2475762</v>
      </c>
      <c r="O4" s="203" t="s">
        <v>191</v>
      </c>
      <c r="P4" s="204">
        <f>VLOOKUP("零用及週轉金",平衡!$D$13:$H$48,5,0)</f>
        <v>40000</v>
      </c>
      <c r="Q4" s="30"/>
    </row>
    <row r="5" spans="1:22" s="53" customFormat="1">
      <c r="A5" s="69"/>
      <c r="B5" s="191" t="s">
        <v>657</v>
      </c>
      <c r="C5" s="192" t="s">
        <v>658</v>
      </c>
      <c r="D5" s="192" t="s">
        <v>661</v>
      </c>
      <c r="E5" s="192" t="s">
        <v>662</v>
      </c>
      <c r="F5" s="192" t="s">
        <v>659</v>
      </c>
      <c r="G5" s="192">
        <v>1717000</v>
      </c>
      <c r="H5" s="192" t="s">
        <v>663</v>
      </c>
      <c r="I5" s="193" t="s">
        <v>659</v>
      </c>
      <c r="J5" s="193">
        <v>37999870</v>
      </c>
      <c r="K5" s="193">
        <v>32784631</v>
      </c>
      <c r="L5" s="193">
        <v>5215239</v>
      </c>
      <c r="M5" s="203" t="s">
        <v>192</v>
      </c>
      <c r="N5" s="204">
        <f>-庫款差額!C15+庫款差額!C18</f>
        <v>-222000</v>
      </c>
      <c r="O5" s="203" t="s">
        <v>192</v>
      </c>
      <c r="P5" s="204">
        <f>庫款差額!C8-庫款差額!C21</f>
        <v>16000</v>
      </c>
      <c r="Q5" s="30"/>
    </row>
    <row r="6" spans="1:22" s="53" customFormat="1" ht="23.4">
      <c r="A6" s="69"/>
      <c r="B6" s="191" t="s">
        <v>657</v>
      </c>
      <c r="C6" s="192" t="s">
        <v>658</v>
      </c>
      <c r="D6" s="192" t="s">
        <v>664</v>
      </c>
      <c r="E6" s="191" t="s">
        <v>665</v>
      </c>
      <c r="F6" s="191" t="s">
        <v>666</v>
      </c>
      <c r="G6" s="192" t="s">
        <v>659</v>
      </c>
      <c r="H6" s="192" t="s">
        <v>667</v>
      </c>
      <c r="I6" s="193">
        <v>24000</v>
      </c>
      <c r="J6" s="193">
        <v>37999870</v>
      </c>
      <c r="K6" s="193">
        <v>32808631</v>
      </c>
      <c r="L6" s="193">
        <v>5191239</v>
      </c>
      <c r="M6" s="118"/>
      <c r="N6" s="205"/>
      <c r="O6" s="206" t="s">
        <v>197</v>
      </c>
      <c r="P6" s="204"/>
      <c r="Q6" s="30"/>
    </row>
    <row r="7" spans="1:22" s="53" customFormat="1" ht="23.4">
      <c r="A7" s="69"/>
      <c r="B7" s="191" t="s">
        <v>657</v>
      </c>
      <c r="C7" s="192" t="s">
        <v>658</v>
      </c>
      <c r="D7" s="192" t="s">
        <v>664</v>
      </c>
      <c r="E7" s="191" t="s">
        <v>668</v>
      </c>
      <c r="F7" s="191" t="s">
        <v>669</v>
      </c>
      <c r="G7" s="192" t="s">
        <v>659</v>
      </c>
      <c r="H7" s="192" t="s">
        <v>667</v>
      </c>
      <c r="I7" s="193">
        <v>87647</v>
      </c>
      <c r="J7" s="193">
        <v>37999870</v>
      </c>
      <c r="K7" s="193">
        <v>32896278</v>
      </c>
      <c r="L7" s="193">
        <v>5103592</v>
      </c>
      <c r="M7" s="118"/>
      <c r="N7" s="205"/>
      <c r="O7" s="206" t="s">
        <v>198</v>
      </c>
      <c r="P7" s="204">
        <f>IF(Q7=0,0,VLOOKUP("應付費用",平衡!$N$13:$U$47,4,0))</f>
        <v>0</v>
      </c>
      <c r="Q7" s="30"/>
    </row>
    <row r="8" spans="1:22" s="53" customFormat="1">
      <c r="A8" s="69"/>
      <c r="B8" s="191" t="s">
        <v>657</v>
      </c>
      <c r="C8" s="192" t="s">
        <v>658</v>
      </c>
      <c r="D8" s="192" t="s">
        <v>670</v>
      </c>
      <c r="E8" s="191" t="s">
        <v>671</v>
      </c>
      <c r="F8" s="191" t="s">
        <v>672</v>
      </c>
      <c r="G8" s="192" t="s">
        <v>659</v>
      </c>
      <c r="H8" s="192" t="s">
        <v>667</v>
      </c>
      <c r="I8" s="193">
        <v>19200</v>
      </c>
      <c r="J8" s="193">
        <v>37999870</v>
      </c>
      <c r="K8" s="193">
        <v>32915478</v>
      </c>
      <c r="L8" s="193">
        <v>5084392</v>
      </c>
      <c r="M8" s="118"/>
      <c r="N8" s="205"/>
      <c r="O8" s="204" t="s">
        <v>193</v>
      </c>
      <c r="P8" s="204"/>
      <c r="Q8" s="30"/>
    </row>
    <row r="9" spans="1:22" s="53" customFormat="1">
      <c r="A9" s="69"/>
      <c r="B9" s="191" t="s">
        <v>657</v>
      </c>
      <c r="C9" s="192" t="s">
        <v>658</v>
      </c>
      <c r="D9" s="192" t="s">
        <v>673</v>
      </c>
      <c r="E9" s="191" t="s">
        <v>674</v>
      </c>
      <c r="F9" s="191" t="s">
        <v>675</v>
      </c>
      <c r="G9" s="192" t="s">
        <v>659</v>
      </c>
      <c r="H9" s="192" t="s">
        <v>667</v>
      </c>
      <c r="I9" s="193">
        <v>16000</v>
      </c>
      <c r="J9" s="193">
        <v>37999870</v>
      </c>
      <c r="K9" s="193">
        <v>32931478</v>
      </c>
      <c r="L9" s="193">
        <v>5068392</v>
      </c>
      <c r="M9" s="118"/>
      <c r="N9" s="30"/>
      <c r="O9" s="204" t="s">
        <v>194</v>
      </c>
      <c r="P9" s="204"/>
      <c r="Q9" s="30"/>
    </row>
    <row r="10" spans="1:22" s="53" customFormat="1">
      <c r="A10" s="69"/>
      <c r="B10" s="191" t="s">
        <v>657</v>
      </c>
      <c r="C10" s="192" t="s">
        <v>658</v>
      </c>
      <c r="D10" s="192" t="s">
        <v>676</v>
      </c>
      <c r="E10" s="191" t="s">
        <v>677</v>
      </c>
      <c r="F10" s="191" t="s">
        <v>678</v>
      </c>
      <c r="G10" s="192" t="s">
        <v>659</v>
      </c>
      <c r="H10" s="192" t="s">
        <v>667</v>
      </c>
      <c r="I10" s="193">
        <v>16000</v>
      </c>
      <c r="J10" s="193">
        <v>37999870</v>
      </c>
      <c r="K10" s="193">
        <v>32947478</v>
      </c>
      <c r="L10" s="193">
        <v>5052392</v>
      </c>
      <c r="M10" s="118"/>
      <c r="N10" s="30"/>
      <c r="O10" s="30"/>
      <c r="P10" s="30"/>
      <c r="Q10" s="30"/>
    </row>
    <row r="11" spans="1:22" s="53" customFormat="1">
      <c r="A11" s="69"/>
      <c r="B11" s="191" t="s">
        <v>657</v>
      </c>
      <c r="C11" s="192" t="s">
        <v>658</v>
      </c>
      <c r="D11" s="192" t="s">
        <v>679</v>
      </c>
      <c r="E11" s="191" t="s">
        <v>680</v>
      </c>
      <c r="F11" s="191" t="s">
        <v>681</v>
      </c>
      <c r="G11" s="192" t="s">
        <v>659</v>
      </c>
      <c r="H11" s="192" t="s">
        <v>667</v>
      </c>
      <c r="I11" s="193">
        <v>36648</v>
      </c>
      <c r="J11" s="193">
        <v>37999870</v>
      </c>
      <c r="K11" s="193">
        <v>32984126</v>
      </c>
      <c r="L11" s="193">
        <v>5015744</v>
      </c>
      <c r="M11" s="118"/>
      <c r="N11" s="30"/>
      <c r="O11" s="30"/>
      <c r="P11" s="30"/>
      <c r="Q11" s="30"/>
    </row>
    <row r="12" spans="1:22" s="53" customFormat="1">
      <c r="A12" s="69"/>
      <c r="B12" s="191" t="s">
        <v>657</v>
      </c>
      <c r="C12" s="192" t="s">
        <v>658</v>
      </c>
      <c r="D12" s="192" t="s">
        <v>682</v>
      </c>
      <c r="E12" s="191" t="s">
        <v>689</v>
      </c>
      <c r="F12" s="191" t="s">
        <v>659</v>
      </c>
      <c r="G12" s="192">
        <v>222000</v>
      </c>
      <c r="H12" s="192" t="s">
        <v>663</v>
      </c>
      <c r="I12" s="193" t="s">
        <v>659</v>
      </c>
      <c r="J12" s="193">
        <v>38221870</v>
      </c>
      <c r="K12" s="193">
        <v>32984126</v>
      </c>
      <c r="L12" s="193">
        <v>5237744</v>
      </c>
      <c r="M12" s="118"/>
      <c r="N12" s="30"/>
      <c r="O12" s="30"/>
      <c r="P12" s="30"/>
      <c r="Q12" s="30"/>
    </row>
    <row r="13" spans="1:22" s="53" customFormat="1">
      <c r="A13" s="69"/>
      <c r="B13" s="191" t="s">
        <v>657</v>
      </c>
      <c r="C13" s="373" t="s">
        <v>658</v>
      </c>
      <c r="D13" s="373" t="s">
        <v>682</v>
      </c>
      <c r="E13" s="373" t="s">
        <v>690</v>
      </c>
      <c r="F13" s="191" t="s">
        <v>659</v>
      </c>
      <c r="G13" s="192">
        <v>150000</v>
      </c>
      <c r="H13" s="192" t="s">
        <v>663</v>
      </c>
      <c r="I13" s="193" t="s">
        <v>659</v>
      </c>
      <c r="J13" s="193">
        <v>38371870</v>
      </c>
      <c r="K13" s="193">
        <v>32984126</v>
      </c>
      <c r="L13" s="193">
        <v>5387744</v>
      </c>
      <c r="M13" s="118"/>
      <c r="N13" s="30"/>
      <c r="O13" s="30"/>
      <c r="P13" s="30"/>
      <c r="Q13" s="30"/>
    </row>
    <row r="14" spans="1:22" s="53" customFormat="1">
      <c r="A14" s="69"/>
      <c r="B14" s="191" t="s">
        <v>657</v>
      </c>
      <c r="C14" s="373" t="s">
        <v>658</v>
      </c>
      <c r="D14" s="373" t="s">
        <v>682</v>
      </c>
      <c r="E14" s="373" t="s">
        <v>683</v>
      </c>
      <c r="F14" s="191" t="s">
        <v>684</v>
      </c>
      <c r="G14" s="192" t="s">
        <v>659</v>
      </c>
      <c r="H14" s="192" t="s">
        <v>667</v>
      </c>
      <c r="I14" s="193">
        <v>1818885</v>
      </c>
      <c r="J14" s="193">
        <v>38371870</v>
      </c>
      <c r="K14" s="193">
        <v>34803011</v>
      </c>
      <c r="L14" s="193">
        <v>3568859</v>
      </c>
      <c r="M14" s="118"/>
      <c r="N14" s="30"/>
      <c r="O14" s="30"/>
      <c r="P14" s="30"/>
      <c r="Q14" s="30"/>
    </row>
    <row r="15" spans="1:22" s="53" customFormat="1">
      <c r="A15" s="69">
        <v>1</v>
      </c>
      <c r="B15" s="191" t="s">
        <v>657</v>
      </c>
      <c r="C15" s="373" t="s">
        <v>658</v>
      </c>
      <c r="D15" s="373" t="s">
        <v>682</v>
      </c>
      <c r="E15" s="373" t="s">
        <v>685</v>
      </c>
      <c r="F15" s="191" t="s">
        <v>686</v>
      </c>
      <c r="G15" s="192" t="s">
        <v>659</v>
      </c>
      <c r="H15" s="192" t="s">
        <v>667</v>
      </c>
      <c r="I15" s="193">
        <v>363060</v>
      </c>
      <c r="J15" s="193">
        <v>38371870</v>
      </c>
      <c r="K15" s="193">
        <v>35166071</v>
      </c>
      <c r="L15" s="193">
        <v>3205799</v>
      </c>
      <c r="M15" s="118"/>
      <c r="N15" s="30"/>
      <c r="O15" s="30"/>
      <c r="P15" s="30"/>
      <c r="Q15" s="30"/>
    </row>
    <row r="16" spans="1:22" s="53" customFormat="1">
      <c r="A16" s="69"/>
      <c r="B16" s="191" t="s">
        <v>659</v>
      </c>
      <c r="C16" s="373" t="s">
        <v>687</v>
      </c>
      <c r="D16" s="373" t="s">
        <v>659</v>
      </c>
      <c r="E16" s="373" t="s">
        <v>659</v>
      </c>
      <c r="F16" s="191" t="s">
        <v>659</v>
      </c>
      <c r="G16" s="192">
        <v>2089000</v>
      </c>
      <c r="H16" s="192" t="s">
        <v>659</v>
      </c>
      <c r="I16" s="193">
        <v>2381440</v>
      </c>
      <c r="J16" s="193" t="s">
        <v>659</v>
      </c>
      <c r="K16" s="193" t="s">
        <v>659</v>
      </c>
      <c r="L16" s="193" t="s">
        <v>659</v>
      </c>
      <c r="M16" s="118"/>
      <c r="N16" s="30"/>
      <c r="O16" s="30"/>
      <c r="P16" s="30"/>
      <c r="Q16" s="30"/>
    </row>
    <row r="17" spans="1:19" s="53" customFormat="1">
      <c r="A17" s="69"/>
      <c r="B17" s="194"/>
      <c r="C17" s="386"/>
      <c r="D17" s="386"/>
      <c r="E17" s="386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>
      <c r="A18" s="69"/>
      <c r="B18" s="194"/>
      <c r="C18" s="386"/>
      <c r="D18" s="386"/>
      <c r="E18" s="386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>
      <c r="A19" s="218"/>
      <c r="B19" s="194"/>
      <c r="C19" s="386"/>
      <c r="D19" s="386"/>
      <c r="E19" s="386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>
      <c r="A20" s="218"/>
      <c r="B20" s="222"/>
      <c r="C20" s="387"/>
      <c r="D20" s="387"/>
      <c r="E20" s="387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>
      <c r="A21" s="218"/>
      <c r="B21" s="222"/>
      <c r="C21" s="387"/>
      <c r="D21" s="387"/>
      <c r="E21" s="387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>
      <c r="A22" s="218"/>
      <c r="B22" s="222"/>
      <c r="C22" s="387"/>
      <c r="D22" s="387"/>
      <c r="E22" s="387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627"/>
      <c r="H1" s="627"/>
      <c r="I1" s="627"/>
      <c r="J1" s="627"/>
      <c r="K1" s="627"/>
      <c r="L1" s="627"/>
      <c r="M1" s="627"/>
      <c r="N1" s="627"/>
      <c r="O1" s="627"/>
      <c r="P1" s="627"/>
      <c r="Q1" s="627"/>
      <c r="R1" s="627"/>
      <c r="S1" s="627"/>
      <c r="T1" s="627"/>
      <c r="U1" s="627"/>
      <c r="V1" s="626"/>
      <c r="W1" s="626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04"/>
      <c r="T3" s="704"/>
      <c r="U3" s="704"/>
      <c r="V3" s="704"/>
      <c r="W3" s="704"/>
    </row>
    <row r="4" spans="1:23" ht="19.8">
      <c r="A4" s="627" t="s">
        <v>57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/>
      <c r="P4" s="627"/>
      <c r="Q4" s="627"/>
      <c r="R4" s="627"/>
      <c r="S4" s="627"/>
      <c r="T4" s="627"/>
      <c r="U4" s="627"/>
      <c r="V4" s="627"/>
      <c r="W4" s="627"/>
    </row>
    <row r="5" spans="1:23" ht="19.5" customHeight="1">
      <c r="A5" s="628" t="str">
        <f>封面!$E$10&amp;封面!$H$10&amp;封面!$I$10&amp;封面!$J$10&amp;封面!$K$10&amp;封面!L10</f>
        <v>中華民國110年11月份</v>
      </c>
      <c r="B5" s="628"/>
      <c r="C5" s="628"/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/>
      <c r="P5" s="628"/>
      <c r="Q5" s="628"/>
      <c r="R5" s="628"/>
      <c r="S5" s="628"/>
      <c r="T5" s="628"/>
      <c r="U5" s="628"/>
      <c r="V5" s="628"/>
      <c r="W5" s="628"/>
    </row>
    <row r="6" spans="1:23" ht="13.2" hidden="1">
      <c r="A6" s="628"/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  <c r="N6" s="628"/>
      <c r="O6" s="628"/>
      <c r="P6" s="628"/>
      <c r="Q6" s="628"/>
      <c r="R6" s="628"/>
      <c r="S6" s="628"/>
      <c r="T6" s="628"/>
      <c r="U6" s="628"/>
      <c r="V6" s="628"/>
      <c r="W6" s="628"/>
    </row>
    <row r="7" spans="1:23" s="9" customFormat="1" ht="16.2">
      <c r="A7" s="705" t="s">
        <v>1</v>
      </c>
      <c r="B7" s="705"/>
      <c r="C7" s="705"/>
      <c r="D7" s="705"/>
      <c r="E7" s="705"/>
      <c r="F7" s="705"/>
      <c r="G7" s="705"/>
      <c r="H7" s="705"/>
      <c r="I7" s="705"/>
      <c r="J7" s="705"/>
      <c r="K7" s="705"/>
      <c r="L7" s="705"/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06" t="s">
        <v>64</v>
      </c>
      <c r="B10" s="715"/>
      <c r="C10" s="706" t="s">
        <v>59</v>
      </c>
      <c r="D10" s="707"/>
      <c r="E10" s="707"/>
      <c r="F10" s="707"/>
      <c r="G10" s="708"/>
      <c r="H10" s="701" t="s">
        <v>60</v>
      </c>
      <c r="I10" s="703" t="s">
        <v>58</v>
      </c>
      <c r="J10" s="689"/>
      <c r="K10" s="689"/>
      <c r="L10" s="689"/>
      <c r="M10" s="689"/>
      <c r="N10" s="689"/>
      <c r="O10" s="689"/>
      <c r="P10" s="703" t="s">
        <v>62</v>
      </c>
      <c r="Q10" s="689"/>
      <c r="R10" s="689"/>
      <c r="S10" s="689"/>
      <c r="T10" s="689"/>
      <c r="U10" s="706" t="s">
        <v>63</v>
      </c>
      <c r="V10" s="707"/>
      <c r="W10" s="708"/>
    </row>
    <row r="11" spans="1:23" s="21" customFormat="1" ht="12.75" hidden="1" customHeight="1">
      <c r="A11" s="716"/>
      <c r="B11" s="717"/>
      <c r="C11" s="709"/>
      <c r="D11" s="710"/>
      <c r="E11" s="710"/>
      <c r="F11" s="710"/>
      <c r="G11" s="711"/>
      <c r="H11" s="691"/>
      <c r="I11" s="689"/>
      <c r="J11" s="689"/>
      <c r="K11" s="689"/>
      <c r="L11" s="689"/>
      <c r="M11" s="689"/>
      <c r="N11" s="689"/>
      <c r="O11" s="689"/>
      <c r="P11" s="689"/>
      <c r="Q11" s="689"/>
      <c r="R11" s="689"/>
      <c r="S11" s="689"/>
      <c r="T11" s="689"/>
      <c r="U11" s="709"/>
      <c r="V11" s="710"/>
      <c r="W11" s="711"/>
    </row>
    <row r="12" spans="1:23" s="22" customFormat="1" ht="12.75" customHeight="1">
      <c r="A12" s="716"/>
      <c r="B12" s="717"/>
      <c r="C12" s="709"/>
      <c r="D12" s="710"/>
      <c r="E12" s="710"/>
      <c r="F12" s="710"/>
      <c r="G12" s="711"/>
      <c r="H12" s="691"/>
      <c r="I12" s="689"/>
      <c r="J12" s="689"/>
      <c r="K12" s="689"/>
      <c r="L12" s="689"/>
      <c r="M12" s="689"/>
      <c r="N12" s="689"/>
      <c r="O12" s="689"/>
      <c r="P12" s="689"/>
      <c r="Q12" s="689"/>
      <c r="R12" s="689"/>
      <c r="S12" s="689"/>
      <c r="T12" s="689"/>
      <c r="U12" s="709"/>
      <c r="V12" s="710"/>
      <c r="W12" s="711"/>
    </row>
    <row r="13" spans="1:23" s="5" customFormat="1" ht="12.75" hidden="1" customHeight="1">
      <c r="A13" s="716"/>
      <c r="B13" s="717"/>
      <c r="C13" s="720"/>
      <c r="D13" s="721"/>
      <c r="E13" s="721"/>
      <c r="F13" s="710"/>
      <c r="G13" s="711"/>
      <c r="H13" s="691"/>
      <c r="I13" s="689"/>
      <c r="J13" s="689"/>
      <c r="K13" s="689"/>
      <c r="L13" s="689"/>
      <c r="M13" s="689"/>
      <c r="N13" s="689"/>
      <c r="O13" s="689"/>
      <c r="P13" s="689"/>
      <c r="Q13" s="689"/>
      <c r="R13" s="689"/>
      <c r="S13" s="689"/>
      <c r="T13" s="689"/>
      <c r="U13" s="709"/>
      <c r="V13" s="710"/>
      <c r="W13" s="711"/>
    </row>
    <row r="14" spans="1:23" s="5" customFormat="1" ht="12.75" customHeight="1">
      <c r="A14" s="716"/>
      <c r="B14" s="717"/>
      <c r="C14" s="722"/>
      <c r="D14" s="723"/>
      <c r="E14" s="723"/>
      <c r="F14" s="713"/>
      <c r="G14" s="632"/>
      <c r="H14" s="691"/>
      <c r="I14" s="689"/>
      <c r="J14" s="689"/>
      <c r="K14" s="689"/>
      <c r="L14" s="689"/>
      <c r="M14" s="689"/>
      <c r="N14" s="689"/>
      <c r="O14" s="689"/>
      <c r="P14" s="689"/>
      <c r="Q14" s="689"/>
      <c r="R14" s="689"/>
      <c r="S14" s="689"/>
      <c r="T14" s="689"/>
      <c r="U14" s="709"/>
      <c r="V14" s="710"/>
      <c r="W14" s="711"/>
    </row>
    <row r="15" spans="1:23" s="5" customFormat="1" ht="12.75" customHeight="1">
      <c r="A15" s="716"/>
      <c r="B15" s="717"/>
      <c r="C15" s="724" t="s">
        <v>329</v>
      </c>
      <c r="D15" s="724" t="s">
        <v>330</v>
      </c>
      <c r="E15" s="724" t="s">
        <v>331</v>
      </c>
      <c r="F15" s="701" t="s">
        <v>65</v>
      </c>
      <c r="G15" s="701" t="s">
        <v>66</v>
      </c>
      <c r="H15" s="691"/>
      <c r="I15" s="703" t="s">
        <v>61</v>
      </c>
      <c r="J15" s="689"/>
      <c r="K15" s="689"/>
      <c r="L15" s="689"/>
      <c r="M15" s="703" t="s">
        <v>13</v>
      </c>
      <c r="N15" s="689"/>
      <c r="O15" s="689"/>
      <c r="P15" s="689"/>
      <c r="Q15" s="689"/>
      <c r="R15" s="689"/>
      <c r="S15" s="689"/>
      <c r="T15" s="689"/>
      <c r="U15" s="709"/>
      <c r="V15" s="710"/>
      <c r="W15" s="711"/>
    </row>
    <row r="16" spans="1:23" s="5" customFormat="1" ht="12.75" customHeight="1">
      <c r="A16" s="716"/>
      <c r="B16" s="717"/>
      <c r="C16" s="725"/>
      <c r="D16" s="725"/>
      <c r="E16" s="725"/>
      <c r="F16" s="725"/>
      <c r="G16" s="691"/>
      <c r="H16" s="691"/>
      <c r="I16" s="689"/>
      <c r="J16" s="689"/>
      <c r="K16" s="689"/>
      <c r="L16" s="689"/>
      <c r="M16" s="689"/>
      <c r="N16" s="689"/>
      <c r="O16" s="689"/>
      <c r="P16" s="689"/>
      <c r="Q16" s="689"/>
      <c r="R16" s="689"/>
      <c r="S16" s="689"/>
      <c r="T16" s="689"/>
      <c r="U16" s="709"/>
      <c r="V16" s="710"/>
      <c r="W16" s="711"/>
    </row>
    <row r="17" spans="1:23" s="5" customFormat="1" ht="12.75" customHeight="1">
      <c r="A17" s="716"/>
      <c r="B17" s="717"/>
      <c r="C17" s="725"/>
      <c r="D17" s="725"/>
      <c r="E17" s="725"/>
      <c r="F17" s="725"/>
      <c r="G17" s="691"/>
      <c r="H17" s="691"/>
      <c r="I17" s="703" t="s">
        <v>68</v>
      </c>
      <c r="J17" s="714" t="s">
        <v>67</v>
      </c>
      <c r="K17" s="703" t="s">
        <v>69</v>
      </c>
      <c r="L17" s="702" t="s">
        <v>70</v>
      </c>
      <c r="M17" s="703" t="s">
        <v>4</v>
      </c>
      <c r="N17" s="702" t="s">
        <v>70</v>
      </c>
      <c r="O17" s="689"/>
      <c r="P17" s="689"/>
      <c r="Q17" s="689"/>
      <c r="R17" s="689"/>
      <c r="S17" s="689"/>
      <c r="T17" s="689"/>
      <c r="U17" s="709"/>
      <c r="V17" s="710"/>
      <c r="W17" s="711"/>
    </row>
    <row r="18" spans="1:23" s="5" customFormat="1" ht="12.75" customHeight="1">
      <c r="A18" s="716"/>
      <c r="B18" s="717"/>
      <c r="C18" s="725"/>
      <c r="D18" s="725"/>
      <c r="E18" s="725"/>
      <c r="F18" s="725"/>
      <c r="G18" s="691"/>
      <c r="H18" s="691"/>
      <c r="I18" s="689"/>
      <c r="J18" s="714"/>
      <c r="K18" s="689"/>
      <c r="L18" s="689"/>
      <c r="M18" s="689"/>
      <c r="N18" s="689"/>
      <c r="O18" s="689"/>
      <c r="P18" s="689"/>
      <c r="Q18" s="689"/>
      <c r="R18" s="689"/>
      <c r="S18" s="689"/>
      <c r="T18" s="689"/>
      <c r="U18" s="709"/>
      <c r="V18" s="710"/>
      <c r="W18" s="711"/>
    </row>
    <row r="19" spans="1:23" s="5" customFormat="1" ht="12.75" hidden="1" customHeight="1">
      <c r="A19" s="716"/>
      <c r="B19" s="717"/>
      <c r="C19" s="432"/>
      <c r="D19" s="432"/>
      <c r="E19" s="432"/>
      <c r="F19" s="342"/>
      <c r="G19" s="691"/>
      <c r="H19" s="691"/>
      <c r="I19" s="689"/>
      <c r="J19" s="714"/>
      <c r="K19" s="689"/>
      <c r="L19" s="689"/>
      <c r="M19" s="689"/>
      <c r="N19" s="689"/>
      <c r="O19" s="689"/>
      <c r="P19" s="689"/>
      <c r="Q19" s="689"/>
      <c r="R19" s="689"/>
      <c r="S19" s="689"/>
      <c r="T19" s="689"/>
      <c r="U19" s="709"/>
      <c r="V19" s="710"/>
      <c r="W19" s="711"/>
    </row>
    <row r="20" spans="1:23" s="5" customFormat="1" ht="12.75" hidden="1" customHeight="1">
      <c r="A20" s="718"/>
      <c r="B20" s="719"/>
      <c r="C20" s="433"/>
      <c r="D20" s="433"/>
      <c r="E20" s="433"/>
      <c r="F20" s="339"/>
      <c r="G20" s="633"/>
      <c r="H20" s="633"/>
      <c r="I20" s="689"/>
      <c r="J20" s="714"/>
      <c r="K20" s="689"/>
      <c r="L20" s="689"/>
      <c r="M20" s="689"/>
      <c r="N20" s="689"/>
      <c r="O20" s="689"/>
      <c r="P20" s="689"/>
      <c r="Q20" s="689"/>
      <c r="R20" s="689"/>
      <c r="S20" s="689"/>
      <c r="T20" s="689"/>
      <c r="U20" s="712"/>
      <c r="V20" s="713"/>
      <c r="W20" s="632"/>
    </row>
    <row r="21" spans="1:23" ht="14.25" customHeight="1">
      <c r="A21" s="99" t="s">
        <v>46</v>
      </c>
      <c r="B21" s="100"/>
      <c r="C21" s="406">
        <f>SUM(C22:C23)</f>
        <v>0</v>
      </c>
      <c r="D21" s="406">
        <f t="shared" ref="D21:J21" si="0">SUM(D22:D23)</f>
        <v>0</v>
      </c>
      <c r="E21" s="406">
        <f t="shared" si="0"/>
        <v>0</v>
      </c>
      <c r="F21" s="407">
        <f t="shared" si="0"/>
        <v>0</v>
      </c>
      <c r="G21" s="407">
        <f>SUM(C21:F21)</f>
        <v>0</v>
      </c>
      <c r="H21" s="407">
        <f t="shared" si="0"/>
        <v>0</v>
      </c>
      <c r="I21" s="407">
        <f t="shared" si="0"/>
        <v>0</v>
      </c>
      <c r="J21" s="407">
        <f t="shared" si="0"/>
        <v>0</v>
      </c>
      <c r="K21" s="407">
        <f>SUM(I21:J21)</f>
        <v>0</v>
      </c>
      <c r="L21" s="408">
        <f>IF(K21=0,0,K21/H21)</f>
        <v>0</v>
      </c>
      <c r="M21" s="407">
        <f>H21-K21</f>
        <v>0</v>
      </c>
      <c r="N21" s="409">
        <f>IF(M21=0,0,M21/H21)</f>
        <v>0</v>
      </c>
      <c r="O21" s="410"/>
      <c r="P21" s="411"/>
      <c r="Q21" s="412"/>
      <c r="R21" s="726"/>
      <c r="S21" s="727"/>
      <c r="T21" s="728"/>
      <c r="U21" s="729"/>
      <c r="V21" s="727"/>
      <c r="W21" s="728"/>
    </row>
    <row r="22" spans="1:23">
      <c r="A22" s="101"/>
      <c r="B22" s="102" t="s">
        <v>46</v>
      </c>
      <c r="C22" s="413"/>
      <c r="D22" s="413"/>
      <c r="E22" s="413"/>
      <c r="F22" s="414"/>
      <c r="G22" s="414">
        <f t="shared" ref="G22:G40" si="1">SUM(C22:F22)</f>
        <v>0</v>
      </c>
      <c r="H22" s="414"/>
      <c r="I22" s="414"/>
      <c r="J22" s="414"/>
      <c r="K22" s="414">
        <f t="shared" ref="K22:K40" si="2">SUM(I22:J22)</f>
        <v>0</v>
      </c>
      <c r="L22" s="415">
        <f t="shared" ref="L22:L40" si="3">IF(K22=0,0,K22/H22)</f>
        <v>0</v>
      </c>
      <c r="M22" s="414">
        <f t="shared" ref="M22:M40" si="4">H22-K22</f>
        <v>0</v>
      </c>
      <c r="N22" s="416">
        <f t="shared" ref="N22:N40" si="5">IF(M22=0,0,M22/H22)</f>
        <v>0</v>
      </c>
      <c r="O22" s="417"/>
      <c r="P22" s="418"/>
      <c r="Q22" s="419"/>
      <c r="R22" s="730"/>
      <c r="S22" s="731"/>
      <c r="T22" s="732"/>
      <c r="U22" s="733"/>
      <c r="V22" s="731"/>
      <c r="W22" s="732"/>
    </row>
    <row r="23" spans="1:23">
      <c r="A23" s="101"/>
      <c r="B23" s="102" t="s">
        <v>51</v>
      </c>
      <c r="C23" s="414"/>
      <c r="D23" s="414"/>
      <c r="E23" s="414"/>
      <c r="F23" s="414"/>
      <c r="G23" s="414">
        <f t="shared" si="1"/>
        <v>0</v>
      </c>
      <c r="H23" s="414"/>
      <c r="I23" s="414"/>
      <c r="J23" s="414"/>
      <c r="K23" s="414">
        <f t="shared" si="2"/>
        <v>0</v>
      </c>
      <c r="L23" s="415">
        <f t="shared" si="3"/>
        <v>0</v>
      </c>
      <c r="M23" s="414">
        <f t="shared" si="4"/>
        <v>0</v>
      </c>
      <c r="N23" s="416">
        <f t="shared" si="5"/>
        <v>0</v>
      </c>
      <c r="O23" s="417"/>
      <c r="P23" s="418"/>
      <c r="Q23" s="419"/>
      <c r="R23" s="730"/>
      <c r="S23" s="731"/>
      <c r="T23" s="732"/>
      <c r="U23" s="733"/>
      <c r="V23" s="731"/>
      <c r="W23" s="732"/>
    </row>
    <row r="24" spans="1:23" ht="14.25" customHeight="1">
      <c r="A24" s="103" t="s">
        <v>47</v>
      </c>
      <c r="B24" s="102"/>
      <c r="C24" s="414">
        <f>SUM(C25:C26)</f>
        <v>0</v>
      </c>
      <c r="D24" s="414">
        <f t="shared" ref="D24" si="6">SUM(D25:D26)</f>
        <v>0</v>
      </c>
      <c r="E24" s="414">
        <f t="shared" ref="E24" si="7">SUM(E25:E26)</f>
        <v>0</v>
      </c>
      <c r="F24" s="414">
        <f t="shared" ref="F24" si="8">SUM(F25:F26)</f>
        <v>0</v>
      </c>
      <c r="G24" s="414">
        <f t="shared" si="1"/>
        <v>0</v>
      </c>
      <c r="H24" s="414">
        <f t="shared" ref="H24" si="9">SUM(H25:H26)</f>
        <v>0</v>
      </c>
      <c r="I24" s="414">
        <f t="shared" ref="I24" si="10">SUM(I25:I26)</f>
        <v>0</v>
      </c>
      <c r="J24" s="414">
        <f t="shared" ref="J24" si="11">SUM(J25:J26)</f>
        <v>0</v>
      </c>
      <c r="K24" s="414">
        <f t="shared" si="2"/>
        <v>0</v>
      </c>
      <c r="L24" s="415">
        <f>IF(K24=0,0,K24/H24)</f>
        <v>0</v>
      </c>
      <c r="M24" s="414">
        <f t="shared" si="4"/>
        <v>0</v>
      </c>
      <c r="N24" s="416">
        <f>IF(M24=0,0,M24/H24)</f>
        <v>0</v>
      </c>
      <c r="O24" s="417"/>
      <c r="P24" s="418"/>
      <c r="Q24" s="419"/>
      <c r="R24" s="730"/>
      <c r="S24" s="731"/>
      <c r="T24" s="732"/>
      <c r="U24" s="733"/>
      <c r="V24" s="731"/>
      <c r="W24" s="732"/>
    </row>
    <row r="25" spans="1:23">
      <c r="A25" s="101"/>
      <c r="B25" s="102" t="s">
        <v>47</v>
      </c>
      <c r="C25" s="414"/>
      <c r="D25" s="414"/>
      <c r="E25" s="414"/>
      <c r="F25" s="414"/>
      <c r="G25" s="414">
        <f t="shared" si="1"/>
        <v>0</v>
      </c>
      <c r="H25" s="414"/>
      <c r="I25" s="414"/>
      <c r="J25" s="414"/>
      <c r="K25" s="414">
        <f t="shared" si="2"/>
        <v>0</v>
      </c>
      <c r="L25" s="415">
        <f t="shared" si="3"/>
        <v>0</v>
      </c>
      <c r="M25" s="414">
        <f t="shared" si="4"/>
        <v>0</v>
      </c>
      <c r="N25" s="416">
        <f t="shared" si="5"/>
        <v>0</v>
      </c>
      <c r="O25" s="417"/>
      <c r="P25" s="418"/>
      <c r="Q25" s="419"/>
      <c r="R25" s="730"/>
      <c r="S25" s="731"/>
      <c r="T25" s="732"/>
      <c r="U25" s="733"/>
      <c r="V25" s="731"/>
      <c r="W25" s="732"/>
    </row>
    <row r="26" spans="1:23">
      <c r="A26" s="101"/>
      <c r="B26" s="102" t="s">
        <v>51</v>
      </c>
      <c r="C26" s="414"/>
      <c r="D26" s="414"/>
      <c r="E26" s="414"/>
      <c r="F26" s="414"/>
      <c r="G26" s="414">
        <f t="shared" si="1"/>
        <v>0</v>
      </c>
      <c r="H26" s="414"/>
      <c r="I26" s="414"/>
      <c r="J26" s="414"/>
      <c r="K26" s="414">
        <f t="shared" si="2"/>
        <v>0</v>
      </c>
      <c r="L26" s="415">
        <f t="shared" si="3"/>
        <v>0</v>
      </c>
      <c r="M26" s="414">
        <f t="shared" si="4"/>
        <v>0</v>
      </c>
      <c r="N26" s="416">
        <f t="shared" si="5"/>
        <v>0</v>
      </c>
      <c r="O26" s="417"/>
      <c r="P26" s="418"/>
      <c r="Q26" s="419"/>
      <c r="R26" s="730"/>
      <c r="S26" s="731"/>
      <c r="T26" s="732"/>
      <c r="U26" s="733"/>
      <c r="V26" s="731"/>
      <c r="W26" s="732"/>
    </row>
    <row r="27" spans="1:23" ht="14.25" customHeight="1">
      <c r="A27" s="103" t="s">
        <v>48</v>
      </c>
      <c r="B27" s="102"/>
      <c r="C27" s="414">
        <f>SUM(C28:C29)</f>
        <v>0</v>
      </c>
      <c r="D27" s="414">
        <f t="shared" ref="D27" si="12">SUM(D28:D29)</f>
        <v>0</v>
      </c>
      <c r="E27" s="414">
        <f t="shared" ref="E27" si="13">SUM(E28:E29)</f>
        <v>0</v>
      </c>
      <c r="F27" s="414">
        <f t="shared" ref="F27" si="14">SUM(F28:F29)</f>
        <v>0</v>
      </c>
      <c r="G27" s="414">
        <f t="shared" si="1"/>
        <v>0</v>
      </c>
      <c r="H27" s="414">
        <f t="shared" ref="H27" si="15">SUM(H28:H29)</f>
        <v>0</v>
      </c>
      <c r="I27" s="414">
        <f t="shared" ref="I27" si="16">SUM(I28:I29)</f>
        <v>0</v>
      </c>
      <c r="J27" s="414">
        <f t="shared" ref="J27" si="17">SUM(J28:J29)</f>
        <v>0</v>
      </c>
      <c r="K27" s="414">
        <f t="shared" si="2"/>
        <v>0</v>
      </c>
      <c r="L27" s="415">
        <f>IF(K27=0,0,K27/H27)</f>
        <v>0</v>
      </c>
      <c r="M27" s="414">
        <f t="shared" si="4"/>
        <v>0</v>
      </c>
      <c r="N27" s="416">
        <f>IF(M27=0,0,M27/H27)</f>
        <v>0</v>
      </c>
      <c r="O27" s="417"/>
      <c r="P27" s="418"/>
      <c r="Q27" s="419"/>
      <c r="R27" s="730"/>
      <c r="S27" s="731"/>
      <c r="T27" s="732"/>
      <c r="U27" s="733"/>
      <c r="V27" s="731"/>
      <c r="W27" s="732"/>
    </row>
    <row r="28" spans="1:23">
      <c r="A28" s="101"/>
      <c r="B28" s="102" t="s">
        <v>48</v>
      </c>
      <c r="C28" s="414"/>
      <c r="D28" s="414"/>
      <c r="E28" s="414"/>
      <c r="F28" s="414"/>
      <c r="G28" s="414">
        <f t="shared" si="1"/>
        <v>0</v>
      </c>
      <c r="H28" s="414"/>
      <c r="I28" s="414"/>
      <c r="J28" s="414"/>
      <c r="K28" s="414">
        <f t="shared" si="2"/>
        <v>0</v>
      </c>
      <c r="L28" s="415">
        <f t="shared" si="3"/>
        <v>0</v>
      </c>
      <c r="M28" s="414">
        <f t="shared" si="4"/>
        <v>0</v>
      </c>
      <c r="N28" s="416">
        <f t="shared" si="5"/>
        <v>0</v>
      </c>
      <c r="O28" s="417"/>
      <c r="P28" s="418"/>
      <c r="Q28" s="419"/>
      <c r="R28" s="730"/>
      <c r="S28" s="731"/>
      <c r="T28" s="732"/>
      <c r="U28" s="733"/>
      <c r="V28" s="731"/>
      <c r="W28" s="732"/>
    </row>
    <row r="29" spans="1:23">
      <c r="A29" s="101"/>
      <c r="B29" s="102" t="s">
        <v>51</v>
      </c>
      <c r="C29" s="414"/>
      <c r="D29" s="414"/>
      <c r="E29" s="414"/>
      <c r="F29" s="414"/>
      <c r="G29" s="414">
        <f t="shared" si="1"/>
        <v>0</v>
      </c>
      <c r="H29" s="414"/>
      <c r="I29" s="414"/>
      <c r="J29" s="414"/>
      <c r="K29" s="414">
        <f t="shared" si="2"/>
        <v>0</v>
      </c>
      <c r="L29" s="415">
        <f t="shared" si="3"/>
        <v>0</v>
      </c>
      <c r="M29" s="414">
        <f t="shared" si="4"/>
        <v>0</v>
      </c>
      <c r="N29" s="416">
        <f t="shared" si="5"/>
        <v>0</v>
      </c>
      <c r="O29" s="417"/>
      <c r="P29" s="418"/>
      <c r="Q29" s="419"/>
      <c r="R29" s="730"/>
      <c r="S29" s="731"/>
      <c r="T29" s="732"/>
      <c r="U29" s="733"/>
      <c r="V29" s="731"/>
      <c r="W29" s="732"/>
    </row>
    <row r="30" spans="1:23" ht="14.25" customHeight="1">
      <c r="A30" s="103" t="s">
        <v>49</v>
      </c>
      <c r="B30" s="102"/>
      <c r="C30" s="414">
        <f>SUM(C31:C32)</f>
        <v>0</v>
      </c>
      <c r="D30" s="414">
        <f t="shared" ref="D30" si="18">SUM(D31:D32)</f>
        <v>0</v>
      </c>
      <c r="E30" s="414">
        <f t="shared" ref="E30" si="19">SUM(E31:E32)</f>
        <v>0</v>
      </c>
      <c r="F30" s="414">
        <f t="shared" ref="F30" si="20">SUM(F31:F32)</f>
        <v>0</v>
      </c>
      <c r="G30" s="414">
        <f t="shared" si="1"/>
        <v>0</v>
      </c>
      <c r="H30" s="414">
        <f t="shared" ref="H30" si="21">SUM(H31:H32)</f>
        <v>0</v>
      </c>
      <c r="I30" s="414">
        <f t="shared" ref="I30" si="22">SUM(I31:I32)</f>
        <v>0</v>
      </c>
      <c r="J30" s="414">
        <f t="shared" ref="J30" si="23">SUM(J31:J32)</f>
        <v>0</v>
      </c>
      <c r="K30" s="414">
        <f t="shared" si="2"/>
        <v>0</v>
      </c>
      <c r="L30" s="415">
        <f>IF(K30=0,0,K30/H30)</f>
        <v>0</v>
      </c>
      <c r="M30" s="414">
        <f t="shared" si="4"/>
        <v>0</v>
      </c>
      <c r="N30" s="416">
        <f>IF(M30=0,0,M30/H30)</f>
        <v>0</v>
      </c>
      <c r="O30" s="417"/>
      <c r="P30" s="418"/>
      <c r="Q30" s="419"/>
      <c r="R30" s="730"/>
      <c r="S30" s="731"/>
      <c r="T30" s="732"/>
      <c r="U30" s="733"/>
      <c r="V30" s="731"/>
      <c r="W30" s="732"/>
    </row>
    <row r="31" spans="1:23">
      <c r="A31" s="101"/>
      <c r="B31" s="102" t="s">
        <v>49</v>
      </c>
      <c r="C31" s="414"/>
      <c r="D31" s="420"/>
      <c r="E31" s="414"/>
      <c r="F31" s="420"/>
      <c r="G31" s="420">
        <f t="shared" si="1"/>
        <v>0</v>
      </c>
      <c r="H31" s="420"/>
      <c r="I31" s="420"/>
      <c r="J31" s="414"/>
      <c r="K31" s="420">
        <f t="shared" si="2"/>
        <v>0</v>
      </c>
      <c r="L31" s="421">
        <f t="shared" si="3"/>
        <v>0</v>
      </c>
      <c r="M31" s="420">
        <f t="shared" si="4"/>
        <v>0</v>
      </c>
      <c r="N31" s="422">
        <f t="shared" si="5"/>
        <v>0</v>
      </c>
      <c r="O31" s="417"/>
      <c r="P31" s="423"/>
      <c r="Q31" s="424"/>
      <c r="R31" s="730"/>
      <c r="S31" s="731"/>
      <c r="T31" s="732"/>
      <c r="U31" s="733"/>
      <c r="V31" s="731"/>
      <c r="W31" s="732"/>
    </row>
    <row r="32" spans="1:23" ht="12.75" customHeight="1">
      <c r="A32" s="101"/>
      <c r="B32" s="102" t="s">
        <v>51</v>
      </c>
      <c r="C32" s="414"/>
      <c r="D32" s="420"/>
      <c r="E32" s="414"/>
      <c r="F32" s="420"/>
      <c r="G32" s="420">
        <f t="shared" si="1"/>
        <v>0</v>
      </c>
      <c r="H32" s="420"/>
      <c r="I32" s="420"/>
      <c r="J32" s="414"/>
      <c r="K32" s="420">
        <f t="shared" si="2"/>
        <v>0</v>
      </c>
      <c r="L32" s="421">
        <f t="shared" si="3"/>
        <v>0</v>
      </c>
      <c r="M32" s="420">
        <f t="shared" si="4"/>
        <v>0</v>
      </c>
      <c r="N32" s="422">
        <f t="shared" si="5"/>
        <v>0</v>
      </c>
      <c r="O32" s="417"/>
      <c r="P32" s="423"/>
      <c r="Q32" s="424"/>
      <c r="R32" s="730"/>
      <c r="S32" s="731"/>
      <c r="T32" s="732"/>
      <c r="U32" s="733"/>
      <c r="V32" s="731"/>
      <c r="W32" s="732"/>
    </row>
    <row r="33" spans="1:23" ht="14.25" customHeight="1">
      <c r="A33" s="101" t="s">
        <v>50</v>
      </c>
      <c r="B33" s="102"/>
      <c r="C33" s="414">
        <f>SUM(C34:C35)</f>
        <v>0</v>
      </c>
      <c r="D33" s="414">
        <f t="shared" ref="D33" si="24">SUM(D34:D35)</f>
        <v>0</v>
      </c>
      <c r="E33" s="414">
        <f t="shared" ref="E33" si="25">SUM(E34:E35)</f>
        <v>0</v>
      </c>
      <c r="F33" s="414">
        <f t="shared" ref="F33" si="26">SUM(F34:F35)</f>
        <v>0</v>
      </c>
      <c r="G33" s="414">
        <f t="shared" si="1"/>
        <v>0</v>
      </c>
      <c r="H33" s="414">
        <f t="shared" ref="H33" si="27">SUM(H34:H35)</f>
        <v>0</v>
      </c>
      <c r="I33" s="414">
        <f t="shared" ref="I33" si="28">SUM(I34:I35)</f>
        <v>0</v>
      </c>
      <c r="J33" s="414">
        <f t="shared" ref="J33" si="29">SUM(J34:J35)</f>
        <v>0</v>
      </c>
      <c r="K33" s="414">
        <f t="shared" si="2"/>
        <v>0</v>
      </c>
      <c r="L33" s="415">
        <f>IF(K33=0,0,K33/H33)</f>
        <v>0</v>
      </c>
      <c r="M33" s="414">
        <f t="shared" si="4"/>
        <v>0</v>
      </c>
      <c r="N33" s="416">
        <f>IF(M33=0,0,M33/H33)</f>
        <v>0</v>
      </c>
      <c r="O33" s="417"/>
      <c r="P33" s="418"/>
      <c r="Q33" s="419"/>
      <c r="R33" s="730"/>
      <c r="S33" s="731"/>
      <c r="T33" s="732"/>
      <c r="U33" s="733"/>
      <c r="V33" s="731"/>
      <c r="W33" s="732"/>
    </row>
    <row r="34" spans="1:23">
      <c r="A34" s="103"/>
      <c r="B34" s="102" t="s">
        <v>50</v>
      </c>
      <c r="C34" s="414"/>
      <c r="D34" s="414"/>
      <c r="E34" s="414"/>
      <c r="F34" s="414"/>
      <c r="G34" s="414">
        <f t="shared" si="1"/>
        <v>0</v>
      </c>
      <c r="H34" s="414"/>
      <c r="I34" s="414"/>
      <c r="J34" s="414"/>
      <c r="K34" s="414">
        <f t="shared" si="2"/>
        <v>0</v>
      </c>
      <c r="L34" s="415">
        <f t="shared" si="3"/>
        <v>0</v>
      </c>
      <c r="M34" s="414">
        <f t="shared" si="4"/>
        <v>0</v>
      </c>
      <c r="N34" s="416">
        <f t="shared" si="5"/>
        <v>0</v>
      </c>
      <c r="O34" s="417"/>
      <c r="P34" s="418"/>
      <c r="Q34" s="419"/>
      <c r="R34" s="730"/>
      <c r="S34" s="731"/>
      <c r="T34" s="732"/>
      <c r="U34" s="733"/>
      <c r="V34" s="731"/>
      <c r="W34" s="732"/>
    </row>
    <row r="35" spans="1:23">
      <c r="A35" s="101"/>
      <c r="B35" s="102" t="s">
        <v>51</v>
      </c>
      <c r="C35" s="414"/>
      <c r="D35" s="414"/>
      <c r="E35" s="414"/>
      <c r="F35" s="414"/>
      <c r="G35" s="414">
        <f t="shared" si="1"/>
        <v>0</v>
      </c>
      <c r="H35" s="414"/>
      <c r="I35" s="414"/>
      <c r="J35" s="414"/>
      <c r="K35" s="414">
        <f t="shared" si="2"/>
        <v>0</v>
      </c>
      <c r="L35" s="415">
        <f t="shared" si="3"/>
        <v>0</v>
      </c>
      <c r="M35" s="414">
        <f t="shared" si="4"/>
        <v>0</v>
      </c>
      <c r="N35" s="416">
        <f t="shared" si="5"/>
        <v>0</v>
      </c>
      <c r="O35" s="417"/>
      <c r="P35" s="418"/>
      <c r="Q35" s="419"/>
      <c r="R35" s="730"/>
      <c r="S35" s="731"/>
      <c r="T35" s="732"/>
      <c r="U35" s="733"/>
      <c r="V35" s="731"/>
      <c r="W35" s="732"/>
    </row>
    <row r="36" spans="1:23" ht="14.25" customHeight="1">
      <c r="A36" s="101" t="s">
        <v>225</v>
      </c>
      <c r="B36" s="102"/>
      <c r="C36" s="414">
        <f>SUM(C37:C38)</f>
        <v>0</v>
      </c>
      <c r="D36" s="414">
        <f t="shared" ref="D36" si="30">SUM(D37:D38)</f>
        <v>0</v>
      </c>
      <c r="E36" s="414">
        <f t="shared" ref="E36" si="31">SUM(E37:E38)</f>
        <v>0</v>
      </c>
      <c r="F36" s="414">
        <f t="shared" ref="F36" si="32">SUM(F37:F38)</f>
        <v>0</v>
      </c>
      <c r="G36" s="414">
        <f t="shared" si="1"/>
        <v>0</v>
      </c>
      <c r="H36" s="414">
        <f t="shared" ref="H36" si="33">SUM(H37:H38)</f>
        <v>0</v>
      </c>
      <c r="I36" s="414">
        <f t="shared" ref="I36" si="34">SUM(I37:I38)</f>
        <v>0</v>
      </c>
      <c r="J36" s="414">
        <f t="shared" ref="J36" si="35">SUM(J37:J38)</f>
        <v>0</v>
      </c>
      <c r="K36" s="414">
        <f t="shared" si="2"/>
        <v>0</v>
      </c>
      <c r="L36" s="415">
        <f>IF(K36=0,0,K36/H36)</f>
        <v>0</v>
      </c>
      <c r="M36" s="414">
        <f t="shared" si="4"/>
        <v>0</v>
      </c>
      <c r="N36" s="416">
        <f>IF(M36=0,0,M36/H36)</f>
        <v>0</v>
      </c>
      <c r="O36" s="417"/>
      <c r="P36" s="418"/>
      <c r="Q36" s="419"/>
      <c r="R36" s="730"/>
      <c r="S36" s="731"/>
      <c r="T36" s="732"/>
      <c r="U36" s="733"/>
      <c r="V36" s="731"/>
      <c r="W36" s="732"/>
    </row>
    <row r="37" spans="1:23" ht="14.25" customHeight="1">
      <c r="A37" s="103"/>
      <c r="B37" s="102" t="s">
        <v>225</v>
      </c>
      <c r="C37" s="414"/>
      <c r="D37" s="420"/>
      <c r="E37" s="414"/>
      <c r="F37" s="420"/>
      <c r="G37" s="420">
        <f t="shared" si="1"/>
        <v>0</v>
      </c>
      <c r="H37" s="420"/>
      <c r="I37" s="420"/>
      <c r="J37" s="414"/>
      <c r="K37" s="420">
        <f t="shared" si="2"/>
        <v>0</v>
      </c>
      <c r="L37" s="421">
        <f t="shared" si="3"/>
        <v>0</v>
      </c>
      <c r="M37" s="414">
        <f t="shared" si="4"/>
        <v>0</v>
      </c>
      <c r="N37" s="416">
        <f t="shared" si="5"/>
        <v>0</v>
      </c>
      <c r="O37" s="417"/>
      <c r="P37" s="418"/>
      <c r="Q37" s="419"/>
      <c r="R37" s="730"/>
      <c r="S37" s="731"/>
      <c r="T37" s="732"/>
      <c r="U37" s="733"/>
      <c r="V37" s="731"/>
      <c r="W37" s="732"/>
    </row>
    <row r="38" spans="1:23">
      <c r="A38" s="101"/>
      <c r="B38" s="102" t="s">
        <v>51</v>
      </c>
      <c r="C38" s="414"/>
      <c r="D38" s="420"/>
      <c r="E38" s="414"/>
      <c r="F38" s="420"/>
      <c r="G38" s="420">
        <f t="shared" si="1"/>
        <v>0</v>
      </c>
      <c r="H38" s="420"/>
      <c r="I38" s="420"/>
      <c r="J38" s="414"/>
      <c r="K38" s="420">
        <f t="shared" si="2"/>
        <v>0</v>
      </c>
      <c r="L38" s="421">
        <f t="shared" si="3"/>
        <v>0</v>
      </c>
      <c r="M38" s="414">
        <f t="shared" si="4"/>
        <v>0</v>
      </c>
      <c r="N38" s="416">
        <f t="shared" si="5"/>
        <v>0</v>
      </c>
      <c r="O38" s="417"/>
      <c r="P38" s="418"/>
      <c r="Q38" s="419"/>
      <c r="R38" s="730"/>
      <c r="S38" s="731"/>
      <c r="T38" s="732"/>
      <c r="U38" s="733"/>
      <c r="V38" s="731"/>
      <c r="W38" s="732"/>
    </row>
    <row r="39" spans="1:23" ht="9.75" customHeight="1">
      <c r="A39" s="101"/>
      <c r="B39" s="102"/>
      <c r="C39" s="414"/>
      <c r="D39" s="414"/>
      <c r="E39" s="414"/>
      <c r="F39" s="414"/>
      <c r="G39" s="414">
        <f t="shared" si="1"/>
        <v>0</v>
      </c>
      <c r="H39" s="414"/>
      <c r="I39" s="414"/>
      <c r="J39" s="414"/>
      <c r="K39" s="414">
        <f t="shared" si="2"/>
        <v>0</v>
      </c>
      <c r="L39" s="415">
        <f t="shared" si="3"/>
        <v>0</v>
      </c>
      <c r="M39" s="414">
        <f t="shared" si="4"/>
        <v>0</v>
      </c>
      <c r="N39" s="416">
        <f t="shared" si="5"/>
        <v>0</v>
      </c>
      <c r="O39" s="417"/>
      <c r="P39" s="418"/>
      <c r="Q39" s="419"/>
      <c r="R39" s="730"/>
      <c r="S39" s="731"/>
      <c r="T39" s="732"/>
      <c r="U39" s="733"/>
      <c r="V39" s="731"/>
      <c r="W39" s="732"/>
    </row>
    <row r="40" spans="1:23" ht="14.25" customHeight="1">
      <c r="A40" s="107" t="s">
        <v>175</v>
      </c>
      <c r="B40" s="104"/>
      <c r="C40" s="425">
        <f>SUM(C21:C39)/2</f>
        <v>0</v>
      </c>
      <c r="D40" s="425">
        <f t="shared" ref="D40:J40" si="36">SUM(D21:D39)/2</f>
        <v>0</v>
      </c>
      <c r="E40" s="425">
        <f t="shared" si="36"/>
        <v>0</v>
      </c>
      <c r="F40" s="425">
        <f t="shared" si="36"/>
        <v>0</v>
      </c>
      <c r="G40" s="425">
        <f t="shared" si="1"/>
        <v>0</v>
      </c>
      <c r="H40" s="425">
        <f t="shared" si="36"/>
        <v>0</v>
      </c>
      <c r="I40" s="425">
        <f t="shared" si="36"/>
        <v>0</v>
      </c>
      <c r="J40" s="425">
        <f t="shared" si="36"/>
        <v>0</v>
      </c>
      <c r="K40" s="426">
        <f t="shared" si="2"/>
        <v>0</v>
      </c>
      <c r="L40" s="427">
        <f t="shared" si="3"/>
        <v>0</v>
      </c>
      <c r="M40" s="425">
        <f t="shared" si="4"/>
        <v>0</v>
      </c>
      <c r="N40" s="428">
        <f t="shared" si="5"/>
        <v>0</v>
      </c>
      <c r="O40" s="429"/>
      <c r="P40" s="430"/>
      <c r="Q40" s="431"/>
      <c r="R40" s="734"/>
      <c r="S40" s="735"/>
      <c r="T40" s="736"/>
      <c r="U40" s="737"/>
      <c r="V40" s="735"/>
      <c r="W40" s="736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3" bestFit="1" customWidth="1"/>
    <col min="18" max="18" width="12" style="343" customWidth="1"/>
    <col min="19" max="16384" width="6.88671875" style="3"/>
  </cols>
  <sheetData>
    <row r="1" spans="1:16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627"/>
      <c r="H1" s="62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44" t="s">
        <v>40</v>
      </c>
      <c r="B4" s="644"/>
      <c r="C4" s="644"/>
      <c r="D4" s="644"/>
      <c r="E4" s="644"/>
      <c r="F4" s="644"/>
      <c r="G4" s="644"/>
      <c r="H4" s="644"/>
    </row>
    <row r="5" spans="1:16" ht="6.75" customHeight="1"/>
    <row r="6" spans="1:16" ht="16.2">
      <c r="A6" s="628" t="str">
        <f>封面!$E$10&amp;封面!$H$10&amp;封面!$I$10&amp;封面!$J$10&amp;封面!$K$10&amp;封面!L10</f>
        <v>中華民國110年11月份</v>
      </c>
      <c r="B6" s="628"/>
      <c r="C6" s="628"/>
      <c r="D6" s="628"/>
      <c r="E6" s="628"/>
      <c r="F6" s="628"/>
      <c r="G6" s="628"/>
      <c r="H6" s="628"/>
    </row>
    <row r="7" spans="1:16" ht="14.25" customHeight="1">
      <c r="A7" s="584" t="s">
        <v>41</v>
      </c>
      <c r="B7" s="584"/>
      <c r="C7" s="584"/>
      <c r="D7" s="584"/>
      <c r="E7" s="584"/>
      <c r="F7" s="584"/>
      <c r="G7" s="584"/>
      <c r="H7" s="584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49" t="s">
        <v>42</v>
      </c>
      <c r="I9" s="150"/>
    </row>
    <row r="10" spans="1:16" ht="14.25" customHeight="1">
      <c r="A10" s="747" t="s">
        <v>43</v>
      </c>
      <c r="B10" s="743"/>
      <c r="C10" s="741" t="s">
        <v>53</v>
      </c>
      <c r="D10" s="743" t="s">
        <v>54</v>
      </c>
      <c r="E10" s="741" t="s">
        <v>55</v>
      </c>
      <c r="F10" s="741" t="s">
        <v>56</v>
      </c>
      <c r="G10" s="747" t="s">
        <v>44</v>
      </c>
      <c r="H10" s="750"/>
      <c r="I10" s="150"/>
      <c r="K10" s="207" t="s">
        <v>195</v>
      </c>
      <c r="L10" s="207" t="s">
        <v>196</v>
      </c>
      <c r="M10" s="738" t="s">
        <v>211</v>
      </c>
      <c r="N10" s="745" t="s">
        <v>224</v>
      </c>
      <c r="O10" s="740" t="s">
        <v>222</v>
      </c>
    </row>
    <row r="11" spans="1:16" ht="13.8">
      <c r="A11" s="748"/>
      <c r="B11" s="744"/>
      <c r="C11" s="742"/>
      <c r="D11" s="744"/>
      <c r="E11" s="742"/>
      <c r="F11" s="742"/>
      <c r="G11" s="748"/>
      <c r="H11" s="751"/>
      <c r="I11" s="150"/>
      <c r="M11" s="739"/>
      <c r="N11" s="746"/>
      <c r="O11" s="739"/>
      <c r="P11" s="252" t="s">
        <v>223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45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D15-[4]固定項目!D15</f>
        <v>-761342</v>
      </c>
      <c r="L15" s="254">
        <f>E15-[4]固定項目!E15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D16-[4]固定項目!D16</f>
        <v>0</v>
      </c>
      <c r="L16" s="255">
        <f>E16-[4]固定項目!E16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D17-[4]固定項目!D17</f>
        <v>0</v>
      </c>
      <c r="L17" s="255">
        <f>E17-[4]固定項目!E17</f>
        <v>0</v>
      </c>
      <c r="P17" s="257"/>
    </row>
    <row r="18" spans="1:18" ht="26.25" customHeight="1">
      <c r="A18" s="19"/>
      <c r="B18" s="96" t="s">
        <v>174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D18-[5]固定項目!D18</f>
        <v>0</v>
      </c>
      <c r="L18" s="255">
        <f>E18-[5]固定項目!E18</f>
        <v>0</v>
      </c>
      <c r="O18" s="256">
        <f>M18-N18+[5]固定項目!O18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D19-[5]固定項目!D20</f>
        <v>0</v>
      </c>
      <c r="L19" s="255">
        <f>E19-[5]固定項目!E20</f>
        <v>0</v>
      </c>
      <c r="O19" s="256">
        <f>M19-N19+[5]固定項目!O20</f>
        <v>0</v>
      </c>
      <c r="P19" s="257"/>
    </row>
    <row r="20" spans="1:18" ht="21" customHeight="1">
      <c r="A20" s="20"/>
      <c r="B20" s="97" t="s">
        <v>46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D20-[5]固定項目!D21</f>
        <v>0</v>
      </c>
      <c r="L20" s="255">
        <f>E20-[5]固定項目!E21</f>
        <v>0</v>
      </c>
      <c r="O20" s="256">
        <f>M20-N20+[5]固定項目!O21</f>
        <v>0</v>
      </c>
      <c r="P20" s="257">
        <f>C20+D20-E20-O20</f>
        <v>0</v>
      </c>
      <c r="Q20" s="343">
        <v>9760300</v>
      </c>
      <c r="R20" s="344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D21-[5]固定項目!D23</f>
        <v>0</v>
      </c>
      <c r="L21" s="255">
        <f>E21-[5]固定項目!E23</f>
        <v>0</v>
      </c>
      <c r="O21" s="256">
        <f>M21-N21+[5]固定項目!O23</f>
        <v>0</v>
      </c>
      <c r="P21" s="257">
        <f t="shared" ref="P21:P42" si="2">C21+D21-E21-O21</f>
        <v>0</v>
      </c>
      <c r="R21" s="344">
        <f t="shared" ref="R21:R30" si="3">P21-Q21</f>
        <v>0</v>
      </c>
    </row>
    <row r="22" spans="1:18" ht="21" customHeight="1">
      <c r="A22" s="20"/>
      <c r="B22" s="97" t="s">
        <v>47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D22-[5]固定項目!D24</f>
        <v>-65606</v>
      </c>
      <c r="L22" s="255">
        <f>E22-[5]固定項目!E24</f>
        <v>0</v>
      </c>
      <c r="M22" s="238">
        <v>32803</v>
      </c>
      <c r="O22" s="256">
        <f>M22-N22+[5]固定項目!O24</f>
        <v>2027157</v>
      </c>
      <c r="P22" s="257">
        <f t="shared" si="2"/>
        <v>-2027157</v>
      </c>
      <c r="Q22" s="343">
        <v>3532484</v>
      </c>
      <c r="R22" s="344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D23-[5]固定項目!D26</f>
        <v>0</v>
      </c>
      <c r="L23" s="255">
        <f>E23-[5]固定項目!E26</f>
        <v>0</v>
      </c>
      <c r="O23" s="256">
        <f>M23-N23+[5]固定項目!O26</f>
        <v>0</v>
      </c>
      <c r="P23" s="257">
        <f t="shared" si="2"/>
        <v>0</v>
      </c>
      <c r="R23" s="344">
        <f t="shared" si="3"/>
        <v>0</v>
      </c>
    </row>
    <row r="24" spans="1:18" ht="21" customHeight="1">
      <c r="A24" s="20"/>
      <c r="B24" s="97" t="s">
        <v>48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D24-[5]固定項目!D27</f>
        <v>0</v>
      </c>
      <c r="L24" s="255">
        <f>E24-[5]固定項目!E27</f>
        <v>-462500</v>
      </c>
      <c r="M24" s="238">
        <v>83429</v>
      </c>
      <c r="O24" s="256">
        <f>M24-N24+[5]固定項目!O27</f>
        <v>24356499</v>
      </c>
      <c r="P24" s="257">
        <f t="shared" si="2"/>
        <v>-24356499</v>
      </c>
      <c r="Q24" s="343">
        <v>20166512</v>
      </c>
      <c r="R24" s="344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D25-[5]固定項目!D29</f>
        <v>0</v>
      </c>
      <c r="L25" s="255">
        <f>E25-[5]固定項目!E29</f>
        <v>0</v>
      </c>
      <c r="O25" s="256">
        <f>M25-N25+[5]固定項目!O29</f>
        <v>0</v>
      </c>
      <c r="P25" s="257">
        <f t="shared" si="2"/>
        <v>0</v>
      </c>
      <c r="R25" s="344">
        <f t="shared" si="3"/>
        <v>0</v>
      </c>
    </row>
    <row r="26" spans="1:18" ht="21" customHeight="1">
      <c r="A26" s="20"/>
      <c r="B26" s="97" t="s">
        <v>49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D26-[5]固定項目!D30</f>
        <v>-112736</v>
      </c>
      <c r="L26" s="255">
        <f>E26-[5]固定項目!E30</f>
        <v>-343611</v>
      </c>
      <c r="M26" s="238">
        <v>24242</v>
      </c>
      <c r="O26" s="256">
        <f>M26-N26+[5]固定項目!O30</f>
        <v>4960805</v>
      </c>
      <c r="P26" s="257">
        <f t="shared" si="2"/>
        <v>-4960805</v>
      </c>
      <c r="Q26" s="343">
        <v>1123223</v>
      </c>
      <c r="R26" s="344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D27-[5]固定項目!D32</f>
        <v>0</v>
      </c>
      <c r="L27" s="255">
        <f>E27-[5]固定項目!E32</f>
        <v>0</v>
      </c>
      <c r="O27" s="256">
        <f>M27-N27+[5]固定項目!O32</f>
        <v>0</v>
      </c>
      <c r="P27" s="257">
        <f t="shared" si="2"/>
        <v>0</v>
      </c>
      <c r="R27" s="344">
        <f t="shared" si="3"/>
        <v>0</v>
      </c>
    </row>
    <row r="28" spans="1:18" ht="21" customHeight="1">
      <c r="A28" s="20"/>
      <c r="B28" s="97" t="s">
        <v>50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D28-[5]固定項目!D33</f>
        <v>0</v>
      </c>
      <c r="L28" s="255">
        <f>E28-[5]固定項目!E33</f>
        <v>-98000</v>
      </c>
      <c r="M28" s="238">
        <v>5018</v>
      </c>
      <c r="O28" s="256">
        <f>M28-N28+[5]固定項目!O33</f>
        <v>707188</v>
      </c>
      <c r="P28" s="257">
        <f t="shared" si="2"/>
        <v>-707188</v>
      </c>
      <c r="Q28" s="343">
        <v>148230</v>
      </c>
      <c r="R28" s="344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D29-[5]固定項目!D35</f>
        <v>0</v>
      </c>
      <c r="L29" s="255">
        <f>E29-[5]固定項目!E35</f>
        <v>0</v>
      </c>
      <c r="O29" s="256">
        <f>M29-N29+[5]固定項目!O35</f>
        <v>0</v>
      </c>
      <c r="P29" s="257">
        <f t="shared" si="2"/>
        <v>0</v>
      </c>
      <c r="R29" s="344">
        <f t="shared" si="3"/>
        <v>0</v>
      </c>
    </row>
    <row r="30" spans="1:18" ht="21" customHeight="1">
      <c r="A30" s="20"/>
      <c r="B30" s="97" t="s">
        <v>205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D30-[5]固定項目!D36</f>
        <v>-596000</v>
      </c>
      <c r="L30" s="255">
        <f>E30-[5]固定項目!E36</f>
        <v>-111600</v>
      </c>
      <c r="M30" s="238">
        <v>13923</v>
      </c>
      <c r="O30" s="256">
        <f>M30-N30+[5]固定項目!O36</f>
        <v>3802410</v>
      </c>
      <c r="P30" s="257">
        <f t="shared" si="2"/>
        <v>-3802410</v>
      </c>
      <c r="Q30" s="343">
        <v>667523</v>
      </c>
      <c r="R30" s="344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D31-[5]固定項目!D38</f>
        <v>0</v>
      </c>
      <c r="L31" s="255">
        <f>E31-[5]固定項目!E38</f>
        <v>0</v>
      </c>
      <c r="O31" s="256">
        <f>M31-N31+[5]固定項目!O38</f>
        <v>0</v>
      </c>
      <c r="P31" s="251">
        <f t="shared" si="2"/>
        <v>0</v>
      </c>
    </row>
    <row r="32" spans="1:18" ht="21" customHeight="1">
      <c r="A32" s="20"/>
      <c r="B32" s="97" t="s">
        <v>51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D32-[5]固定項目!D39</f>
        <v>0</v>
      </c>
      <c r="L32" s="255">
        <f>E32-[5]固定項目!E39</f>
        <v>0</v>
      </c>
      <c r="O32" s="256">
        <f>M32-N32+[5]固定項目!O39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D33-[5]固定項目!D41</f>
        <v>0</v>
      </c>
      <c r="L33" s="255">
        <f>E33-[5]固定項目!E41</f>
        <v>0</v>
      </c>
      <c r="O33" s="256">
        <f>M33-N33+[5]固定項目!O41</f>
        <v>0</v>
      </c>
      <c r="P33" s="251">
        <f t="shared" si="2"/>
        <v>0</v>
      </c>
    </row>
    <row r="34" spans="1:16" ht="21" customHeight="1">
      <c r="A34" s="20"/>
      <c r="B34" s="97" t="s">
        <v>206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D34-[5]固定項目!D42</f>
        <v>0</v>
      </c>
      <c r="L34" s="255">
        <f>E34-[5]固定項目!E42</f>
        <v>0</v>
      </c>
      <c r="M34" s="253"/>
      <c r="N34" s="253">
        <f>E34</f>
        <v>0</v>
      </c>
      <c r="O34" s="256">
        <f>M34-N34+[5]固定項目!O42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D35-[5]固定項目!D44</f>
        <v>0</v>
      </c>
      <c r="L35" s="255">
        <f>E35-[5]固定項目!E44</f>
        <v>0</v>
      </c>
      <c r="O35" s="256">
        <f>M35-N35+[5]固定項目!O44</f>
        <v>0</v>
      </c>
      <c r="P35" s="251">
        <f t="shared" si="2"/>
        <v>0</v>
      </c>
    </row>
    <row r="36" spans="1:16" ht="21" customHeight="1">
      <c r="A36" s="20"/>
      <c r="B36" s="97" t="s">
        <v>52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D36-[5]固定項目!D45</f>
        <v>0</v>
      </c>
      <c r="L36" s="255">
        <f>E36-[5]固定項目!E45</f>
        <v>0</v>
      </c>
      <c r="O36" s="256">
        <f>M36-N36+[5]固定項目!O45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M37-N37+[5]固定項目!O47</f>
        <v>0</v>
      </c>
      <c r="P37" s="251">
        <f t="shared" si="2"/>
        <v>0</v>
      </c>
    </row>
    <row r="38" spans="1:16" ht="21" customHeight="1">
      <c r="A38" s="233"/>
      <c r="B38" s="235" t="s">
        <v>207</v>
      </c>
      <c r="C38" s="14"/>
      <c r="D38" s="14"/>
      <c r="E38" s="14"/>
      <c r="F38" s="14"/>
      <c r="G38" s="275"/>
      <c r="H38" s="14"/>
      <c r="O38" s="256">
        <f>M38-N38+[5]固定項目!O48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M39-N39+[5]固定項目!O50</f>
        <v>0</v>
      </c>
      <c r="P39" s="251">
        <f t="shared" si="2"/>
        <v>0</v>
      </c>
    </row>
    <row r="40" spans="1:16" ht="21" customHeight="1">
      <c r="A40" s="233"/>
      <c r="B40" s="235" t="s">
        <v>208</v>
      </c>
      <c r="C40" s="14"/>
      <c r="D40" s="14"/>
      <c r="E40" s="14"/>
      <c r="F40" s="14"/>
      <c r="G40" s="275"/>
      <c r="H40" s="14"/>
      <c r="O40" s="256">
        <f>M40-N40+[5]固定項目!O51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M41-N41+[5]固定項目!O53</f>
        <v>0</v>
      </c>
      <c r="P41" s="251">
        <f t="shared" si="2"/>
        <v>0</v>
      </c>
    </row>
    <row r="42" spans="1:16" ht="21" customHeight="1">
      <c r="A42" s="233"/>
      <c r="B42" s="236" t="s">
        <v>209</v>
      </c>
      <c r="C42" s="14"/>
      <c r="D42" s="14"/>
      <c r="E42" s="14"/>
      <c r="F42" s="14"/>
      <c r="G42" s="275"/>
      <c r="H42" s="14"/>
      <c r="O42" s="256">
        <f>M42-N42+[5]固定項目!O54</f>
        <v>0</v>
      </c>
      <c r="P42" s="25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87" bestFit="1" customWidth="1"/>
    <col min="2" max="2" width="49.6640625" style="287" customWidth="1"/>
    <col min="3" max="3" width="5.5546875" style="320" bestFit="1" customWidth="1"/>
    <col min="4" max="5" width="4.33203125" style="320" bestFit="1" customWidth="1"/>
    <col min="6" max="6" width="14.6640625" style="320" bestFit="1" customWidth="1"/>
    <col min="7" max="9" width="11.44140625" style="288" bestFit="1" customWidth="1"/>
    <col min="10" max="10" width="11.33203125" style="288" bestFit="1" customWidth="1"/>
    <col min="11" max="11" width="11.33203125" style="288" customWidth="1"/>
    <col min="12" max="12" width="11.44140625" style="288" bestFit="1" customWidth="1"/>
    <col min="13" max="13" width="15" style="288" customWidth="1"/>
    <col min="14" max="14" width="14" style="287" bestFit="1" customWidth="1"/>
    <col min="15" max="15" width="15" style="287" customWidth="1"/>
    <col min="16" max="16" width="12.44140625" style="287" customWidth="1"/>
    <col min="17" max="16384" width="9.109375" style="287"/>
  </cols>
  <sheetData>
    <row r="1" spans="1:13" ht="22.2">
      <c r="B1" s="760" t="s">
        <v>300</v>
      </c>
      <c r="C1" s="760"/>
      <c r="D1" s="760"/>
      <c r="E1" s="760"/>
      <c r="F1" s="760"/>
      <c r="G1" s="760"/>
      <c r="H1" s="760"/>
      <c r="I1" s="760"/>
      <c r="J1" s="760"/>
      <c r="K1" s="760"/>
      <c r="L1" s="760"/>
    </row>
    <row r="2" spans="1:13" ht="22.2">
      <c r="B2" s="760" t="s">
        <v>241</v>
      </c>
      <c r="C2" s="760"/>
      <c r="D2" s="760"/>
      <c r="E2" s="760"/>
      <c r="F2" s="760"/>
      <c r="G2" s="760"/>
      <c r="H2" s="760"/>
      <c r="I2" s="760"/>
      <c r="J2" s="760"/>
      <c r="K2" s="760"/>
      <c r="L2" s="760"/>
    </row>
    <row r="3" spans="1:13" ht="22.2">
      <c r="B3" s="760" t="s">
        <v>242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</row>
    <row r="4" spans="1:13" ht="22.2">
      <c r="B4" s="289" t="s">
        <v>317</v>
      </c>
      <c r="C4" s="290"/>
      <c r="D4" s="290"/>
      <c r="E4" s="290"/>
      <c r="F4" s="290"/>
      <c r="G4" s="291"/>
      <c r="H4" s="291"/>
      <c r="I4" s="291"/>
      <c r="J4" s="761" t="s">
        <v>318</v>
      </c>
      <c r="K4" s="762"/>
      <c r="L4" s="763"/>
    </row>
    <row r="5" spans="1:13" ht="16.2">
      <c r="A5" s="764" t="s">
        <v>243</v>
      </c>
      <c r="B5" s="765"/>
      <c r="C5" s="768" t="s">
        <v>244</v>
      </c>
      <c r="D5" s="768"/>
      <c r="E5" s="768"/>
      <c r="F5" s="769" t="s">
        <v>245</v>
      </c>
      <c r="G5" s="771" t="s">
        <v>246</v>
      </c>
      <c r="H5" s="772"/>
      <c r="I5" s="772"/>
      <c r="J5" s="772"/>
      <c r="K5" s="772"/>
      <c r="L5" s="773"/>
    </row>
    <row r="6" spans="1:13" ht="39.75" customHeight="1">
      <c r="A6" s="766"/>
      <c r="B6" s="767"/>
      <c r="C6" s="286" t="s">
        <v>247</v>
      </c>
      <c r="D6" s="286" t="s">
        <v>248</v>
      </c>
      <c r="E6" s="286" t="s">
        <v>249</v>
      </c>
      <c r="F6" s="770"/>
      <c r="G6" s="292" t="s">
        <v>293</v>
      </c>
      <c r="H6" s="292" t="s">
        <v>294</v>
      </c>
      <c r="I6" s="292" t="s">
        <v>295</v>
      </c>
      <c r="J6" s="292" t="s">
        <v>296</v>
      </c>
      <c r="K6" s="292" t="s">
        <v>297</v>
      </c>
      <c r="L6" s="292" t="s">
        <v>298</v>
      </c>
    </row>
    <row r="7" spans="1:13" ht="22.2">
      <c r="A7" s="754" t="s">
        <v>250</v>
      </c>
      <c r="B7" s="755"/>
      <c r="C7" s="286"/>
      <c r="D7" s="286"/>
      <c r="E7" s="286"/>
      <c r="F7" s="293"/>
      <c r="G7" s="774">
        <f>SUM(G8:L8)</f>
        <v>0</v>
      </c>
      <c r="H7" s="775"/>
      <c r="I7" s="775"/>
      <c r="J7" s="775"/>
      <c r="K7" s="775"/>
      <c r="L7" s="776"/>
    </row>
    <row r="8" spans="1:13" ht="16.2">
      <c r="A8" s="754" t="s">
        <v>251</v>
      </c>
      <c r="B8" s="755"/>
      <c r="C8" s="294"/>
      <c r="D8" s="294"/>
      <c r="E8" s="294"/>
      <c r="F8" s="295"/>
      <c r="G8" s="296">
        <f>勾稽!D22</f>
        <v>0</v>
      </c>
      <c r="H8" s="296">
        <f>勾稽!D23</f>
        <v>-5</v>
      </c>
      <c r="I8" s="296">
        <f>勾稽!D24</f>
        <v>0</v>
      </c>
      <c r="J8" s="296">
        <f>勾稽!D25</f>
        <v>0</v>
      </c>
      <c r="K8" s="296">
        <f>勾稽!D26</f>
        <v>0</v>
      </c>
      <c r="L8" s="296">
        <f>勾稽!D27</f>
        <v>5</v>
      </c>
    </row>
    <row r="9" spans="1:13" ht="16.2">
      <c r="A9" s="754" t="s">
        <v>252</v>
      </c>
      <c r="B9" s="755"/>
      <c r="C9" s="297"/>
      <c r="D9" s="297"/>
      <c r="E9" s="297"/>
      <c r="F9" s="295"/>
      <c r="G9" s="298">
        <f t="shared" ref="G9:J9" si="0">SUM(G10:G12)</f>
        <v>0</v>
      </c>
      <c r="H9" s="298">
        <f t="shared" si="0"/>
        <v>0</v>
      </c>
      <c r="I9" s="298">
        <f t="shared" si="0"/>
        <v>0</v>
      </c>
      <c r="J9" s="298">
        <f t="shared" si="0"/>
        <v>0</v>
      </c>
      <c r="K9" s="298"/>
      <c r="L9" s="298">
        <f>SUM(L10:L12)</f>
        <v>0</v>
      </c>
      <c r="M9" s="299"/>
    </row>
    <row r="10" spans="1:13" ht="16.2">
      <c r="A10" s="329" t="s">
        <v>253</v>
      </c>
      <c r="B10" s="330"/>
      <c r="C10" s="297"/>
      <c r="D10" s="297"/>
      <c r="E10" s="297"/>
      <c r="F10" s="295"/>
      <c r="G10" s="300"/>
      <c r="H10" s="300"/>
      <c r="I10" s="300"/>
      <c r="J10" s="300"/>
      <c r="K10" s="300"/>
      <c r="L10" s="300"/>
      <c r="M10" s="299"/>
    </row>
    <row r="11" spans="1:13" ht="16.2">
      <c r="A11" s="329" t="s">
        <v>254</v>
      </c>
      <c r="B11" s="330"/>
      <c r="C11" s="297"/>
      <c r="D11" s="297"/>
      <c r="E11" s="297"/>
      <c r="F11" s="295"/>
      <c r="G11" s="300"/>
      <c r="H11" s="300"/>
      <c r="I11" s="300"/>
      <c r="J11" s="300"/>
      <c r="K11" s="300"/>
      <c r="L11" s="300"/>
      <c r="M11" s="299"/>
    </row>
    <row r="12" spans="1:13" ht="16.2">
      <c r="A12" s="329" t="s">
        <v>255</v>
      </c>
      <c r="B12" s="330"/>
      <c r="C12" s="297"/>
      <c r="D12" s="297"/>
      <c r="E12" s="297"/>
      <c r="F12" s="295"/>
      <c r="G12" s="300"/>
      <c r="H12" s="300"/>
      <c r="I12" s="300"/>
      <c r="J12" s="300"/>
      <c r="K12" s="300"/>
      <c r="L12" s="300"/>
      <c r="M12" s="299"/>
    </row>
    <row r="13" spans="1:13" ht="16.2">
      <c r="A13" s="752" t="s">
        <v>256</v>
      </c>
      <c r="B13" s="755"/>
      <c r="C13" s="297"/>
      <c r="D13" s="297"/>
      <c r="E13" s="297"/>
      <c r="F13" s="295"/>
      <c r="G13" s="301">
        <f t="shared" ref="G13:J13" si="1">SUM(G14:G33)</f>
        <v>0</v>
      </c>
      <c r="H13" s="301">
        <f t="shared" si="1"/>
        <v>0</v>
      </c>
      <c r="I13" s="301">
        <f t="shared" si="1"/>
        <v>0</v>
      </c>
      <c r="J13" s="301">
        <f t="shared" si="1"/>
        <v>0</v>
      </c>
      <c r="K13" s="301"/>
      <c r="L13" s="301">
        <f>SUM(L14:L33)</f>
        <v>0</v>
      </c>
    </row>
    <row r="14" spans="1:13" ht="16.2">
      <c r="A14" s="329" t="s">
        <v>253</v>
      </c>
      <c r="B14" s="330"/>
      <c r="C14" s="302"/>
      <c r="D14" s="302"/>
      <c r="E14" s="302"/>
      <c r="F14" s="295"/>
      <c r="G14" s="303"/>
      <c r="H14" s="303"/>
      <c r="I14" s="303"/>
      <c r="J14" s="303"/>
      <c r="K14" s="303"/>
      <c r="L14" s="303"/>
    </row>
    <row r="15" spans="1:13" ht="16.2">
      <c r="A15" s="329" t="s">
        <v>254</v>
      </c>
      <c r="B15" s="330"/>
      <c r="C15" s="302"/>
      <c r="D15" s="302"/>
      <c r="E15" s="302"/>
      <c r="F15" s="304"/>
      <c r="G15" s="303"/>
      <c r="H15" s="303"/>
      <c r="I15" s="303"/>
      <c r="J15" s="303"/>
      <c r="K15" s="303"/>
      <c r="L15" s="303"/>
    </row>
    <row r="16" spans="1:13" ht="16.2">
      <c r="A16" s="329" t="s">
        <v>255</v>
      </c>
      <c r="B16" s="330"/>
      <c r="C16" s="302"/>
      <c r="D16" s="302"/>
      <c r="E16" s="302"/>
      <c r="F16" s="295"/>
      <c r="G16" s="303"/>
      <c r="H16" s="303"/>
      <c r="I16" s="303"/>
      <c r="J16" s="303"/>
      <c r="K16" s="303"/>
      <c r="L16" s="303"/>
    </row>
    <row r="17" spans="1:13" ht="16.2">
      <c r="A17" s="329" t="s">
        <v>257</v>
      </c>
      <c r="B17" s="330"/>
      <c r="C17" s="302"/>
      <c r="D17" s="302"/>
      <c r="E17" s="302"/>
      <c r="F17" s="295"/>
      <c r="G17" s="303"/>
      <c r="H17" s="303"/>
      <c r="I17" s="303"/>
      <c r="J17" s="303"/>
      <c r="K17" s="303"/>
      <c r="L17" s="303"/>
      <c r="M17" s="287"/>
    </row>
    <row r="18" spans="1:13" ht="16.2">
      <c r="A18" s="329" t="s">
        <v>258</v>
      </c>
      <c r="B18" s="330"/>
      <c r="C18" s="302"/>
      <c r="D18" s="302"/>
      <c r="E18" s="302"/>
      <c r="F18" s="295"/>
      <c r="G18" s="303"/>
      <c r="H18" s="303"/>
      <c r="I18" s="303"/>
      <c r="J18" s="303"/>
      <c r="K18" s="303"/>
      <c r="L18" s="303"/>
      <c r="M18" s="287"/>
    </row>
    <row r="19" spans="1:13" ht="16.2">
      <c r="A19" s="329" t="s">
        <v>259</v>
      </c>
      <c r="B19" s="330"/>
      <c r="C19" s="302"/>
      <c r="D19" s="302"/>
      <c r="E19" s="302"/>
      <c r="F19" s="295"/>
      <c r="G19" s="303"/>
      <c r="H19" s="303"/>
      <c r="I19" s="303"/>
      <c r="J19" s="303"/>
      <c r="K19" s="303"/>
      <c r="L19" s="303"/>
      <c r="M19" s="287"/>
    </row>
    <row r="20" spans="1:13" ht="16.2">
      <c r="A20" s="329" t="s">
        <v>260</v>
      </c>
      <c r="B20" s="330"/>
      <c r="C20" s="302"/>
      <c r="D20" s="302"/>
      <c r="E20" s="302"/>
      <c r="F20" s="295"/>
      <c r="G20" s="303"/>
      <c r="H20" s="303"/>
      <c r="I20" s="303"/>
      <c r="J20" s="303"/>
      <c r="K20" s="303"/>
      <c r="L20" s="303"/>
      <c r="M20" s="287"/>
    </row>
    <row r="21" spans="1:13" ht="16.2">
      <c r="A21" s="329" t="s">
        <v>261</v>
      </c>
      <c r="B21" s="330"/>
      <c r="C21" s="302"/>
      <c r="D21" s="302"/>
      <c r="E21" s="302"/>
      <c r="F21" s="295"/>
      <c r="G21" s="303"/>
      <c r="H21" s="303"/>
      <c r="I21" s="303"/>
      <c r="J21" s="303"/>
      <c r="K21" s="303"/>
      <c r="L21" s="303"/>
      <c r="M21" s="287"/>
    </row>
    <row r="22" spans="1:13" ht="16.2">
      <c r="A22" s="329" t="s">
        <v>262</v>
      </c>
      <c r="B22" s="330"/>
      <c r="C22" s="302"/>
      <c r="D22" s="302"/>
      <c r="E22" s="302"/>
      <c r="F22" s="295"/>
      <c r="G22" s="303"/>
      <c r="H22" s="303"/>
      <c r="I22" s="303"/>
      <c r="J22" s="303"/>
      <c r="K22" s="303"/>
      <c r="L22" s="303"/>
      <c r="M22" s="287"/>
    </row>
    <row r="23" spans="1:13" ht="16.2">
      <c r="A23" s="329" t="s">
        <v>263</v>
      </c>
      <c r="B23" s="330"/>
      <c r="C23" s="302"/>
      <c r="D23" s="302"/>
      <c r="E23" s="302"/>
      <c r="F23" s="295"/>
      <c r="G23" s="303"/>
      <c r="H23" s="303"/>
      <c r="I23" s="303"/>
      <c r="J23" s="303"/>
      <c r="K23" s="303"/>
      <c r="L23" s="303"/>
      <c r="M23" s="287"/>
    </row>
    <row r="24" spans="1:13" ht="16.2">
      <c r="A24" s="329" t="s">
        <v>264</v>
      </c>
      <c r="B24" s="330"/>
      <c r="C24" s="302"/>
      <c r="D24" s="302"/>
      <c r="E24" s="302"/>
      <c r="F24" s="295"/>
      <c r="G24" s="303"/>
      <c r="H24" s="303"/>
      <c r="I24" s="303"/>
      <c r="J24" s="303"/>
      <c r="K24" s="303"/>
      <c r="L24" s="303"/>
      <c r="M24" s="287"/>
    </row>
    <row r="25" spans="1:13" ht="16.2">
      <c r="A25" s="329" t="s">
        <v>265</v>
      </c>
      <c r="B25" s="330"/>
      <c r="C25" s="302"/>
      <c r="D25" s="302"/>
      <c r="E25" s="302"/>
      <c r="F25" s="295"/>
      <c r="G25" s="303"/>
      <c r="H25" s="303"/>
      <c r="I25" s="303"/>
      <c r="J25" s="303"/>
      <c r="K25" s="303"/>
      <c r="L25" s="303"/>
      <c r="M25" s="287"/>
    </row>
    <row r="26" spans="1:13" ht="16.2">
      <c r="A26" s="329" t="s">
        <v>266</v>
      </c>
      <c r="B26" s="330"/>
      <c r="C26" s="302"/>
      <c r="D26" s="302"/>
      <c r="E26" s="302"/>
      <c r="F26" s="295"/>
      <c r="G26" s="303"/>
      <c r="H26" s="303"/>
      <c r="I26" s="303"/>
      <c r="J26" s="303"/>
      <c r="K26" s="303"/>
      <c r="L26" s="303"/>
      <c r="M26" s="287"/>
    </row>
    <row r="27" spans="1:13" ht="16.2">
      <c r="A27" s="329" t="s">
        <v>267</v>
      </c>
      <c r="B27" s="330"/>
      <c r="C27" s="302"/>
      <c r="D27" s="302"/>
      <c r="E27" s="302"/>
      <c r="F27" s="295"/>
      <c r="G27" s="303"/>
      <c r="H27" s="303"/>
      <c r="I27" s="303"/>
      <c r="J27" s="303"/>
      <c r="K27" s="303"/>
      <c r="L27" s="303"/>
      <c r="M27" s="287"/>
    </row>
    <row r="28" spans="1:13" ht="16.2">
      <c r="A28" s="329" t="s">
        <v>268</v>
      </c>
      <c r="B28" s="330"/>
      <c r="C28" s="302"/>
      <c r="D28" s="302"/>
      <c r="E28" s="302"/>
      <c r="F28" s="295"/>
      <c r="G28" s="303"/>
      <c r="H28" s="303"/>
      <c r="I28" s="303"/>
      <c r="J28" s="303"/>
      <c r="K28" s="303"/>
      <c r="L28" s="303"/>
      <c r="M28" s="287"/>
    </row>
    <row r="29" spans="1:13" ht="16.2">
      <c r="A29" s="329" t="s">
        <v>269</v>
      </c>
      <c r="B29" s="330"/>
      <c r="C29" s="302"/>
      <c r="D29" s="302"/>
      <c r="E29" s="302"/>
      <c r="F29" s="295"/>
      <c r="G29" s="303"/>
      <c r="H29" s="303"/>
      <c r="I29" s="303"/>
      <c r="J29" s="303"/>
      <c r="K29" s="303"/>
      <c r="L29" s="303"/>
      <c r="M29" s="287"/>
    </row>
    <row r="30" spans="1:13" ht="16.2">
      <c r="A30" s="329" t="s">
        <v>270</v>
      </c>
      <c r="B30" s="330"/>
      <c r="C30" s="302"/>
      <c r="D30" s="302"/>
      <c r="E30" s="302"/>
      <c r="F30" s="295"/>
      <c r="G30" s="303"/>
      <c r="H30" s="303"/>
      <c r="I30" s="303"/>
      <c r="J30" s="303"/>
      <c r="K30" s="303"/>
      <c r="L30" s="303"/>
      <c r="M30" s="287"/>
    </row>
    <row r="31" spans="1:13" ht="16.2">
      <c r="A31" s="329" t="s">
        <v>271</v>
      </c>
      <c r="B31" s="330"/>
      <c r="C31" s="302"/>
      <c r="D31" s="302"/>
      <c r="E31" s="302"/>
      <c r="F31" s="295"/>
      <c r="G31" s="303"/>
      <c r="H31" s="303"/>
      <c r="I31" s="303"/>
      <c r="J31" s="303"/>
      <c r="K31" s="303"/>
      <c r="L31" s="303"/>
      <c r="M31" s="287"/>
    </row>
    <row r="32" spans="1:13" ht="16.2">
      <c r="A32" s="329" t="s">
        <v>272</v>
      </c>
      <c r="B32" s="330"/>
      <c r="C32" s="302"/>
      <c r="D32" s="302"/>
      <c r="E32" s="302"/>
      <c r="F32" s="295"/>
      <c r="G32" s="303"/>
      <c r="H32" s="303"/>
      <c r="I32" s="303"/>
      <c r="J32" s="303"/>
      <c r="K32" s="303"/>
      <c r="L32" s="303"/>
      <c r="M32" s="287"/>
    </row>
    <row r="33" spans="1:16" ht="16.2">
      <c r="A33" s="329" t="s">
        <v>273</v>
      </c>
      <c r="B33" s="330"/>
      <c r="C33" s="302"/>
      <c r="D33" s="302"/>
      <c r="E33" s="302"/>
      <c r="F33" s="295"/>
      <c r="G33" s="303"/>
      <c r="H33" s="303"/>
      <c r="I33" s="303"/>
      <c r="J33" s="303"/>
      <c r="K33" s="303"/>
      <c r="L33" s="303"/>
    </row>
    <row r="34" spans="1:16" ht="16.2">
      <c r="A34" s="752" t="s">
        <v>288</v>
      </c>
      <c r="B34" s="753"/>
      <c r="C34" s="305"/>
      <c r="D34" s="305"/>
      <c r="E34" s="305"/>
      <c r="F34" s="295"/>
      <c r="G34" s="306">
        <f t="shared" ref="G34:J34" si="2">SUM(G35:G37)</f>
        <v>0</v>
      </c>
      <c r="H34" s="306">
        <f t="shared" si="2"/>
        <v>0</v>
      </c>
      <c r="I34" s="306">
        <f t="shared" si="2"/>
        <v>0</v>
      </c>
      <c r="J34" s="306">
        <f t="shared" si="2"/>
        <v>0</v>
      </c>
      <c r="K34" s="306"/>
      <c r="L34" s="306">
        <f>SUM(L35:L37)</f>
        <v>0</v>
      </c>
      <c r="N34" s="307"/>
    </row>
    <row r="35" spans="1:16" ht="16.2">
      <c r="A35" s="329" t="s">
        <v>289</v>
      </c>
      <c r="B35" s="330"/>
      <c r="C35" s="308"/>
      <c r="D35" s="308"/>
      <c r="E35" s="308"/>
      <c r="F35" s="309"/>
      <c r="G35" s="303"/>
      <c r="H35" s="303"/>
      <c r="I35" s="303"/>
      <c r="J35" s="303"/>
      <c r="K35" s="303"/>
      <c r="L35" s="303"/>
      <c r="N35" s="310"/>
    </row>
    <row r="36" spans="1:16" ht="16.2">
      <c r="A36" s="329" t="s">
        <v>254</v>
      </c>
      <c r="B36" s="330"/>
      <c r="C36" s="308"/>
      <c r="D36" s="308"/>
      <c r="E36" s="308"/>
      <c r="F36" s="309"/>
      <c r="G36" s="303"/>
      <c r="H36" s="303"/>
      <c r="I36" s="303"/>
      <c r="J36" s="303"/>
      <c r="K36" s="303"/>
      <c r="L36" s="303"/>
      <c r="N36" s="310"/>
    </row>
    <row r="37" spans="1:16" ht="16.2">
      <c r="A37" s="329" t="s">
        <v>255</v>
      </c>
      <c r="B37" s="330"/>
      <c r="C37" s="308"/>
      <c r="D37" s="308"/>
      <c r="E37" s="308"/>
      <c r="F37" s="309"/>
      <c r="G37" s="303"/>
      <c r="H37" s="303"/>
      <c r="I37" s="303"/>
      <c r="J37" s="303"/>
      <c r="K37" s="303"/>
      <c r="L37" s="303"/>
      <c r="N37" s="310"/>
    </row>
    <row r="38" spans="1:16" ht="16.2">
      <c r="A38" s="752" t="s">
        <v>290</v>
      </c>
      <c r="B38" s="753"/>
      <c r="C38" s="305"/>
      <c r="D38" s="305"/>
      <c r="E38" s="305"/>
      <c r="F38" s="295"/>
      <c r="G38" s="306">
        <f t="shared" ref="G38:J38" si="3">SUM(G39:G41)</f>
        <v>0</v>
      </c>
      <c r="H38" s="306">
        <f t="shared" si="3"/>
        <v>0</v>
      </c>
      <c r="I38" s="306">
        <f t="shared" si="3"/>
        <v>0</v>
      </c>
      <c r="J38" s="306">
        <f t="shared" si="3"/>
        <v>0</v>
      </c>
      <c r="K38" s="306"/>
      <c r="L38" s="306">
        <f>SUM(L39:L41)</f>
        <v>0</v>
      </c>
      <c r="N38" s="307"/>
    </row>
    <row r="39" spans="1:16" ht="16.2">
      <c r="A39" s="329" t="s">
        <v>289</v>
      </c>
      <c r="B39" s="330"/>
      <c r="C39" s="308"/>
      <c r="D39" s="308"/>
      <c r="E39" s="308"/>
      <c r="F39" s="309"/>
      <c r="G39" s="303"/>
      <c r="H39" s="303"/>
      <c r="I39" s="303"/>
      <c r="J39" s="303"/>
      <c r="K39" s="303"/>
      <c r="L39" s="303"/>
      <c r="N39" s="310"/>
    </row>
    <row r="40" spans="1:16" ht="16.2">
      <c r="A40" s="329" t="s">
        <v>254</v>
      </c>
      <c r="B40" s="330"/>
      <c r="C40" s="308"/>
      <c r="D40" s="308"/>
      <c r="E40" s="308"/>
      <c r="F40" s="309"/>
      <c r="G40" s="303"/>
      <c r="H40" s="303"/>
      <c r="I40" s="303"/>
      <c r="J40" s="303"/>
      <c r="K40" s="303"/>
      <c r="L40" s="303"/>
      <c r="N40" s="310"/>
    </row>
    <row r="41" spans="1:16" ht="16.2">
      <c r="A41" s="329" t="s">
        <v>255</v>
      </c>
      <c r="B41" s="330"/>
      <c r="C41" s="308"/>
      <c r="D41" s="308"/>
      <c r="E41" s="308"/>
      <c r="F41" s="309"/>
      <c r="G41" s="303"/>
      <c r="H41" s="303"/>
      <c r="I41" s="303"/>
      <c r="J41" s="303"/>
      <c r="K41" s="303"/>
      <c r="L41" s="303"/>
      <c r="N41" s="310"/>
    </row>
    <row r="42" spans="1:16" ht="16.2">
      <c r="A42" s="754" t="s">
        <v>291</v>
      </c>
      <c r="B42" s="755"/>
      <c r="C42" s="297"/>
      <c r="D42" s="297"/>
      <c r="E42" s="297"/>
      <c r="F42" s="295"/>
      <c r="G42" s="311"/>
      <c r="H42" s="311"/>
      <c r="I42" s="311"/>
      <c r="J42" s="311"/>
      <c r="K42" s="311"/>
      <c r="L42" s="311"/>
      <c r="M42" s="299"/>
      <c r="N42" s="312"/>
      <c r="O42" s="313"/>
    </row>
    <row r="43" spans="1:16" ht="22.2">
      <c r="A43" s="754" t="s">
        <v>292</v>
      </c>
      <c r="B43" s="755"/>
      <c r="C43" s="297"/>
      <c r="D43" s="297"/>
      <c r="E43" s="297"/>
      <c r="F43" s="295"/>
      <c r="G43" s="756">
        <f>SUM(G42:L42)</f>
        <v>0</v>
      </c>
      <c r="H43" s="757"/>
      <c r="I43" s="757"/>
      <c r="J43" s="757"/>
      <c r="K43" s="757"/>
      <c r="L43" s="758"/>
      <c r="M43" s="299"/>
      <c r="N43" s="312"/>
      <c r="O43" s="313"/>
    </row>
    <row r="44" spans="1:16" ht="16.2">
      <c r="B44" s="314"/>
      <c r="C44" s="290"/>
      <c r="D44" s="290"/>
      <c r="E44" s="290"/>
      <c r="F44" s="290"/>
      <c r="G44" s="291"/>
      <c r="H44" s="291"/>
      <c r="I44" s="291"/>
      <c r="J44" s="291"/>
      <c r="K44" s="291"/>
      <c r="L44" s="291"/>
      <c r="N44" s="315"/>
      <c r="O44" s="316"/>
    </row>
    <row r="45" spans="1:16" ht="16.2">
      <c r="B45" s="314" t="s">
        <v>274</v>
      </c>
      <c r="C45" s="759" t="s">
        <v>275</v>
      </c>
      <c r="D45" s="759"/>
      <c r="E45" s="759"/>
      <c r="F45" s="759"/>
      <c r="G45" s="317"/>
      <c r="H45" s="317" t="s">
        <v>276</v>
      </c>
      <c r="I45" s="317"/>
      <c r="J45" s="317"/>
      <c r="K45" s="317"/>
      <c r="L45" s="291"/>
      <c r="N45" s="318"/>
      <c r="O45" s="316"/>
    </row>
    <row r="46" spans="1:16" ht="16.2">
      <c r="B46" s="314"/>
      <c r="C46" s="319"/>
      <c r="D46" s="319"/>
      <c r="E46" s="319"/>
      <c r="F46" s="319"/>
      <c r="G46" s="323">
        <f>G8+G9+G13-G34-G38</f>
        <v>0</v>
      </c>
      <c r="H46" s="323">
        <f t="shared" ref="H46:L46" si="4">H8+H9+H13-H34-H38</f>
        <v>-5</v>
      </c>
      <c r="I46" s="323">
        <f t="shared" si="4"/>
        <v>0</v>
      </c>
      <c r="J46" s="323">
        <f t="shared" si="4"/>
        <v>0</v>
      </c>
      <c r="K46" s="323"/>
      <c r="L46" s="323">
        <f t="shared" si="4"/>
        <v>5</v>
      </c>
      <c r="N46" s="318"/>
      <c r="O46" s="316"/>
    </row>
    <row r="47" spans="1:16" ht="16.2">
      <c r="G47" s="324">
        <f>G42-G46</f>
        <v>0</v>
      </c>
      <c r="H47" s="324">
        <f t="shared" ref="H47:L47" si="5">H42-H46</f>
        <v>5</v>
      </c>
      <c r="I47" s="324">
        <f t="shared" si="5"/>
        <v>0</v>
      </c>
      <c r="J47" s="324">
        <f t="shared" si="5"/>
        <v>0</v>
      </c>
      <c r="K47" s="324"/>
      <c r="L47" s="324">
        <f t="shared" si="5"/>
        <v>-5</v>
      </c>
      <c r="N47" s="321"/>
      <c r="O47" s="322"/>
      <c r="P47" s="322"/>
    </row>
    <row r="48" spans="1:16" ht="16.2">
      <c r="N48" s="322"/>
      <c r="O48" s="322"/>
      <c r="P48" s="322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>
      <c r="A1" s="559" t="s">
        <v>149</v>
      </c>
      <c r="B1" s="559"/>
    </row>
    <row r="2" spans="1:8">
      <c r="A2" s="560" t="s">
        <v>150</v>
      </c>
      <c r="B2" s="559"/>
    </row>
    <row r="3" spans="1:8">
      <c r="A3" s="559" t="s">
        <v>151</v>
      </c>
      <c r="B3" s="559"/>
    </row>
    <row r="4" spans="1:8" ht="27.6">
      <c r="A4" s="559" t="s">
        <v>152</v>
      </c>
      <c r="B4" s="559"/>
      <c r="C4" s="184" t="s">
        <v>184</v>
      </c>
      <c r="D4" s="196" t="s">
        <v>185</v>
      </c>
      <c r="E4" s="164" t="s">
        <v>187</v>
      </c>
      <c r="F4" s="196" t="s">
        <v>186</v>
      </c>
    </row>
    <row r="5" spans="1:8">
      <c r="A5" s="560" t="s">
        <v>153</v>
      </c>
      <c r="B5" s="559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238000</v>
      </c>
    </row>
    <row r="6" spans="1:8" ht="14.4" thickBot="1">
      <c r="A6" s="557" t="s">
        <v>154</v>
      </c>
      <c r="B6" s="558"/>
      <c r="C6" s="183" t="s">
        <v>168</v>
      </c>
      <c r="D6" s="198">
        <f>VLOOKUP("銀行存款-縣庫存款",平衡!$E$13:$H$47,4,0)+VLOOKUP("零用及週轉金",平衡!$D$13:$H$47,5,0)</f>
        <v>3007799</v>
      </c>
      <c r="E6" s="198" t="e">
        <f>VLOOKUP("基金餘額",平衡!$K$13:$U$70,7,0)+C5</f>
        <v>#N/A</v>
      </c>
      <c r="F6" s="169" t="s">
        <v>167</v>
      </c>
    </row>
    <row r="7" spans="1:8" ht="14.4" thickBot="1">
      <c r="A7" s="557" t="s">
        <v>155</v>
      </c>
      <c r="B7" s="558"/>
      <c r="C7" s="183" t="s">
        <v>169</v>
      </c>
      <c r="D7" s="198">
        <f>VLOOKUP("銀行存款-專戶存款",平衡!$E$13:$H$47,4,0)+VLOOKUP("其他預付款",平衡!$D$13:$H$47,5,0)</f>
        <v>32200930</v>
      </c>
      <c r="E7" s="198">
        <f>VLOOKUP("應付代收款",平衡!$N$13:$U$47,7,0)+VLOOKUP("存入保證金",平衡!$N$13:$U$47,7,0)</f>
        <v>32200930</v>
      </c>
      <c r="F7" s="169" t="s">
        <v>170</v>
      </c>
    </row>
    <row r="8" spans="1:8" ht="20.399999999999999" thickBot="1">
      <c r="A8" s="80" t="s">
        <v>129</v>
      </c>
      <c r="B8" s="81" t="s">
        <v>130</v>
      </c>
      <c r="C8" s="183" t="s">
        <v>166</v>
      </c>
      <c r="D8" s="199">
        <f>VLOOKUP("合計：",平衡!$A$13:$H$47,8,0)</f>
        <v>75063264</v>
      </c>
      <c r="E8" s="199">
        <f>VLOOKUP("合計：",平衡!$K$13:$U$47,10,0)</f>
        <v>75063264</v>
      </c>
    </row>
    <row r="9" spans="1:8" ht="16.8" thickBot="1">
      <c r="A9" s="76" t="s">
        <v>131</v>
      </c>
      <c r="B9" s="77" t="s">
        <v>132</v>
      </c>
      <c r="C9" s="183" t="s">
        <v>173</v>
      </c>
      <c r="D9" s="199">
        <f>VLOOKUP("基金用途",餘絀表!$C$16:$T$45,18,0)</f>
        <v>35142071</v>
      </c>
      <c r="E9" s="199">
        <f>VLOOKUP("合       計",各項費用!$D$12:$Q$86,14)</f>
        <v>35142071</v>
      </c>
      <c r="F9" s="199">
        <f>縣庫對帳!P3</f>
        <v>35142071</v>
      </c>
    </row>
    <row r="10" spans="1:8" ht="33" thickBot="1">
      <c r="A10" s="76" t="s">
        <v>133</v>
      </c>
      <c r="B10" s="77" t="s">
        <v>134</v>
      </c>
      <c r="C10" s="183" t="s">
        <v>335</v>
      </c>
      <c r="D10" s="199">
        <f>VLOOKUP("基金來源",餘絀表!$C$16:$T$45,18,0)</f>
        <v>35674108</v>
      </c>
      <c r="E10" s="199">
        <f>縣庫對帳!N3</f>
        <v>35674108</v>
      </c>
      <c r="F10" s="199"/>
      <c r="G10" s="199"/>
      <c r="H10" s="164" t="e">
        <f>D13-E13</f>
        <v>#N/A</v>
      </c>
    </row>
    <row r="11" spans="1:8" ht="27" customHeight="1">
      <c r="A11" s="561" t="s">
        <v>29</v>
      </c>
      <c r="B11" s="561" t="s">
        <v>135</v>
      </c>
      <c r="C11" s="183" t="s">
        <v>346</v>
      </c>
      <c r="D11" s="199">
        <f>VLOOKUP("政府撥入收入",餘絀表!$C$16:$T$45,18,0)</f>
        <v>35623693</v>
      </c>
      <c r="E11" s="199"/>
      <c r="F11" s="199">
        <f>VLOOKUP("政府撥入收入",收支!$B$14:$N$60,13,0)</f>
        <v>35623693</v>
      </c>
      <c r="G11" s="199">
        <f>VLOOKUP("政府撥入收入",對照表!$B$1:$E$28,4,0)</f>
        <v>35623693</v>
      </c>
    </row>
    <row r="12" spans="1:8" ht="27.6">
      <c r="A12" s="564"/>
      <c r="B12" s="564"/>
      <c r="C12" s="183" t="s">
        <v>347</v>
      </c>
      <c r="D12" s="199"/>
      <c r="E12" s="199"/>
      <c r="F12" s="199">
        <f>VLOOKUP("收入",收支!$A$14:$N$60,14,0)</f>
        <v>42977960</v>
      </c>
      <c r="G12" s="199">
        <f>VLOOKUP("基金來源",對照表!$A$1:$E$28,5,0)</f>
        <v>42977960</v>
      </c>
    </row>
    <row r="13" spans="1:8">
      <c r="A13" s="564"/>
      <c r="B13" s="564"/>
      <c r="C13" s="183" t="s">
        <v>332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5800494</v>
      </c>
      <c r="G13" s="197" t="e">
        <f>IF(E13&gt;=0,"本期賸餘","本期短絀")</f>
        <v>#N/A</v>
      </c>
    </row>
    <row r="14" spans="1:8">
      <c r="A14" s="564"/>
      <c r="B14" s="564"/>
      <c r="C14" s="183" t="s">
        <v>333</v>
      </c>
      <c r="D14" s="199">
        <f>IF(封面!J10=12,0,VLOOKUP("本期賸餘(短絀－)",餘絀表!$C$16:$T$48,18,0))</f>
        <v>532037</v>
      </c>
      <c r="E14" s="199"/>
      <c r="F14" s="199">
        <f>IF(封面!K11=12,0,VLOOKUP("本期賸餘(短絀)",對照表!$A$1:$C$28,3,0))</f>
        <v>532037</v>
      </c>
      <c r="G14" s="197"/>
    </row>
    <row r="15" spans="1:8">
      <c r="A15" s="564"/>
      <c r="B15" s="564"/>
      <c r="C15" s="183" t="s">
        <v>334</v>
      </c>
      <c r="D15" s="199">
        <f>IF(封面!J12=12,0,VLOOKUP($G$15,平衡!$K$13:$U$47,10,0))</f>
        <v>42862334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334</v>
      </c>
    </row>
    <row r="16" spans="1:8" ht="14.4" thickBot="1">
      <c r="A16" s="565"/>
      <c r="B16" s="565"/>
      <c r="C16" s="183" t="s">
        <v>158</v>
      </c>
      <c r="D16" s="199">
        <f>VLOOKUP("國民教育計畫",主要業務!$B$15:$J$24,7,0)</f>
        <v>2397440</v>
      </c>
      <c r="E16" s="199">
        <f>VLOOKUP("國民教育計畫",餘絀表!$C$16:$T$45,9,0)</f>
        <v>0</v>
      </c>
    </row>
    <row r="17" spans="1:8">
      <c r="A17" s="561" t="s">
        <v>147</v>
      </c>
      <c r="B17" s="561" t="s">
        <v>136</v>
      </c>
      <c r="C17" s="183" t="s">
        <v>159</v>
      </c>
      <c r="D17" s="199">
        <f>主要業務!H17</f>
        <v>35142071</v>
      </c>
      <c r="E17" s="199">
        <f>VLOOKUP("國民教育計畫",餘絀表!$C$16:$T$45,18,0)</f>
        <v>35142071</v>
      </c>
    </row>
    <row r="18" spans="1:8">
      <c r="A18" s="562"/>
      <c r="B18" s="564"/>
      <c r="C18" s="183" t="s">
        <v>160</v>
      </c>
      <c r="D18" s="199">
        <f>主要業務!H20</f>
        <v>0</v>
      </c>
      <c r="E18" s="199" t="e">
        <f>VLOOKUP("建築及設備計畫",餘絀表!$C$16:$T$45,9,0)</f>
        <v>#N/A</v>
      </c>
    </row>
    <row r="19" spans="1:8">
      <c r="A19" s="562"/>
      <c r="B19" s="564"/>
      <c r="C19" s="183" t="s">
        <v>161</v>
      </c>
      <c r="D19" s="199">
        <f>主要業務!H22</f>
        <v>0</v>
      </c>
      <c r="E19" s="199" t="e">
        <f>VLOOKUP("建築及設備計畫",餘絀表!$C$16:$T$45,18,0)</f>
        <v>#N/A</v>
      </c>
    </row>
    <row r="20" spans="1:8">
      <c r="A20" s="562"/>
      <c r="B20" s="564"/>
      <c r="C20" s="183" t="s">
        <v>336</v>
      </c>
      <c r="D20" s="199">
        <f>VLOOKUP("用人費用",各項費用!$F$12:$Q$100,12,0)</f>
        <v>34059227</v>
      </c>
      <c r="E20" s="199">
        <f>VLOOKUP("人事支出",收支!$B$14:$N$60,13,0)</f>
        <v>34059227</v>
      </c>
      <c r="F20" s="199">
        <f>VLOOKUP("用人費用",對照表!$B$1:$E$28,4,0)</f>
        <v>34059227</v>
      </c>
    </row>
    <row r="21" spans="1:8">
      <c r="A21" s="562"/>
      <c r="B21" s="564"/>
      <c r="C21" s="183" t="s">
        <v>337</v>
      </c>
      <c r="D21" s="199">
        <f>IF(E21=0,0,資產!F10+H21)</f>
        <v>-1332885</v>
      </c>
      <c r="E21" s="199">
        <f>VLOOKUP("折舊、折耗及攤銷",收支!$B$14:$N$60,13,0)</f>
        <v>1998092</v>
      </c>
      <c r="F21" s="199">
        <f>VLOOKUP("折舊、折耗及攤銷",對照表!$H$1:$J$28,3,0)</f>
        <v>1998092</v>
      </c>
      <c r="G21" s="460" t="s">
        <v>348</v>
      </c>
      <c r="H21" s="461">
        <f>464532-4645</f>
        <v>459887</v>
      </c>
    </row>
    <row r="22" spans="1:8">
      <c r="A22" s="562"/>
      <c r="B22" s="564"/>
      <c r="C22" s="183" t="s">
        <v>307</v>
      </c>
      <c r="D22" s="198">
        <v>0</v>
      </c>
      <c r="E22" s="198"/>
      <c r="F22" s="168"/>
    </row>
    <row r="23" spans="1:8">
      <c r="A23" s="562"/>
      <c r="B23" s="564"/>
      <c r="C23" s="183" t="s">
        <v>308</v>
      </c>
      <c r="D23" s="198">
        <f>D28-D22-D24-D25-D26-D27</f>
        <v>-5</v>
      </c>
      <c r="E23" s="198"/>
      <c r="F23" s="168" t="s">
        <v>309</v>
      </c>
    </row>
    <row r="24" spans="1:8">
      <c r="A24" s="562"/>
      <c r="B24" s="564"/>
      <c r="C24" s="183" t="s">
        <v>310</v>
      </c>
      <c r="D24" s="198"/>
      <c r="E24" s="198"/>
      <c r="F24" s="168" t="s">
        <v>311</v>
      </c>
    </row>
    <row r="25" spans="1:8">
      <c r="A25" s="562"/>
      <c r="B25" s="564"/>
      <c r="C25" s="183" t="s">
        <v>312</v>
      </c>
      <c r="D25" s="198">
        <v>0</v>
      </c>
      <c r="E25" s="198"/>
      <c r="F25" s="168"/>
    </row>
    <row r="26" spans="1:8" ht="14.4" thickBot="1">
      <c r="A26" s="563"/>
      <c r="B26" s="565"/>
      <c r="C26" s="183" t="s">
        <v>313</v>
      </c>
      <c r="D26" s="198"/>
      <c r="E26" s="198"/>
      <c r="F26" s="168"/>
      <c r="H26" s="166"/>
    </row>
    <row r="27" spans="1:8" ht="33" thickBot="1">
      <c r="A27" s="76" t="s">
        <v>137</v>
      </c>
      <c r="B27" s="77" t="s">
        <v>148</v>
      </c>
      <c r="C27" s="183" t="s">
        <v>314</v>
      </c>
      <c r="D27" s="198">
        <v>5</v>
      </c>
      <c r="E27" s="198"/>
      <c r="F27" s="168"/>
    </row>
    <row r="28" spans="1:8" ht="33" thickBot="1">
      <c r="A28" s="76" t="s">
        <v>71</v>
      </c>
      <c r="B28" s="77" t="s">
        <v>138</v>
      </c>
      <c r="C28" s="183" t="s">
        <v>315</v>
      </c>
      <c r="D28" s="198"/>
      <c r="E28" s="198"/>
      <c r="F28" s="168" t="s">
        <v>316</v>
      </c>
    </row>
    <row r="29" spans="1:8" ht="16.8" thickBot="1">
      <c r="A29" s="76" t="s">
        <v>139</v>
      </c>
      <c r="B29" s="77" t="s">
        <v>140</v>
      </c>
      <c r="D29" s="186"/>
      <c r="E29" s="186"/>
    </row>
    <row r="30" spans="1:8">
      <c r="A30" s="561" t="s">
        <v>141</v>
      </c>
      <c r="B30" s="561" t="s">
        <v>142</v>
      </c>
      <c r="D30" s="199"/>
      <c r="E30" s="199"/>
      <c r="F30" s="186"/>
    </row>
    <row r="31" spans="1:8">
      <c r="A31" s="564"/>
      <c r="B31" s="564"/>
      <c r="D31" s="199"/>
      <c r="E31" s="199"/>
      <c r="F31" s="186"/>
    </row>
    <row r="32" spans="1:8" ht="14.4" thickBot="1">
      <c r="A32" s="563"/>
      <c r="B32" s="563"/>
      <c r="D32" s="199"/>
      <c r="E32" s="199"/>
      <c r="F32" s="186"/>
    </row>
    <row r="33" spans="1:2" ht="14.4" thickBot="1">
      <c r="A33" s="200"/>
      <c r="B33" s="200"/>
    </row>
    <row r="34" spans="1:2" ht="14.4" thickBot="1">
      <c r="A34" s="200"/>
      <c r="B34" s="200"/>
    </row>
    <row r="35" spans="1:2" ht="14.4" thickBot="1">
      <c r="A35" s="200"/>
      <c r="B35" s="200"/>
    </row>
    <row r="36" spans="1:2" ht="20.399999999999999" thickBot="1">
      <c r="A36" s="75"/>
      <c r="B36" s="75"/>
    </row>
    <row r="37" spans="1:2" ht="20.399999999999999" thickBot="1">
      <c r="A37" s="78" t="s">
        <v>129</v>
      </c>
      <c r="B37" s="79" t="s">
        <v>143</v>
      </c>
    </row>
    <row r="38" spans="1:2" ht="16.8" thickBot="1">
      <c r="A38" s="152" t="s">
        <v>144</v>
      </c>
      <c r="B38" s="77" t="s">
        <v>164</v>
      </c>
    </row>
    <row r="39" spans="1:2" ht="33" thickBot="1">
      <c r="A39" s="152" t="s">
        <v>131</v>
      </c>
      <c r="B39" s="77" t="s">
        <v>165</v>
      </c>
    </row>
    <row r="40" spans="1:2" ht="16.8" thickBot="1">
      <c r="A40" s="152" t="s">
        <v>145</v>
      </c>
      <c r="B40" s="77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81" t="s">
        <v>88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3"/>
    </row>
    <row r="2" spans="1:85">
      <c r="A2" s="784" t="str">
        <f>"茲列出 貴機關"&amp;封面!H10&amp;封面!J10&amp;"01至"&amp;封面!H10&amp;封面!J10&amp;封面!O10&amp;"歲出分配餘額暨支付明細，送請詳加核對"</f>
        <v>茲列出 貴機關1101101至1101130歲出分配餘額暨支付明細，送請詳加核對</v>
      </c>
      <c r="B2" s="785"/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  <c r="N2" s="785"/>
      <c r="O2" s="785"/>
      <c r="P2" s="785"/>
      <c r="Q2" s="785"/>
      <c r="R2" s="786"/>
    </row>
    <row r="3" spans="1:85">
      <c r="A3" s="787" t="s">
        <v>89</v>
      </c>
      <c r="B3" s="788"/>
      <c r="C3" s="788"/>
      <c r="D3" s="788"/>
      <c r="E3" s="788"/>
      <c r="F3" s="788"/>
      <c r="G3" s="788"/>
      <c r="H3" s="788"/>
      <c r="I3" s="788"/>
      <c r="J3" s="788"/>
      <c r="K3" s="788"/>
      <c r="L3" s="788"/>
      <c r="M3" s="788"/>
      <c r="N3" s="788"/>
      <c r="O3" s="788"/>
      <c r="P3" s="788"/>
      <c r="Q3" s="788"/>
      <c r="R3" s="789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90" t="s">
        <v>90</v>
      </c>
      <c r="D5" s="790"/>
      <c r="E5" s="790"/>
      <c r="F5" s="790"/>
      <c r="G5" s="790"/>
      <c r="H5" s="790" t="s">
        <v>91</v>
      </c>
      <c r="I5" s="79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77"/>
      <c r="D6" s="778"/>
      <c r="E6" s="778"/>
      <c r="F6" s="779" t="s">
        <v>93</v>
      </c>
      <c r="G6" s="780"/>
      <c r="H6" s="780"/>
      <c r="I6" s="780"/>
      <c r="J6" s="780"/>
      <c r="K6" s="780"/>
      <c r="L6" s="33"/>
      <c r="M6" s="33"/>
      <c r="N6" s="33"/>
      <c r="O6" s="33"/>
      <c r="P6" s="33"/>
      <c r="Q6" s="33"/>
      <c r="R6" s="40"/>
    </row>
    <row r="7" spans="1:85">
      <c r="A7" s="38"/>
      <c r="B7" s="779" t="s">
        <v>94</v>
      </c>
      <c r="C7" s="779"/>
      <c r="D7" s="779"/>
      <c r="E7" s="779"/>
      <c r="F7" s="779"/>
      <c r="G7" s="779"/>
      <c r="H7" s="779"/>
      <c r="I7" s="77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79" t="s">
        <v>95</v>
      </c>
      <c r="C8" s="779"/>
      <c r="D8" s="779"/>
      <c r="E8" s="779"/>
      <c r="F8" s="779"/>
      <c r="G8" s="779"/>
      <c r="H8" s="779"/>
      <c r="I8" s="77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98" t="s">
        <v>97</v>
      </c>
      <c r="C9" s="798"/>
      <c r="D9" s="798"/>
      <c r="E9" s="798"/>
      <c r="F9" s="798"/>
      <c r="G9" s="798"/>
      <c r="H9" s="798"/>
      <c r="I9" s="79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99" t="s">
        <v>98</v>
      </c>
      <c r="B10" s="790"/>
      <c r="C10" s="790"/>
      <c r="D10" s="800"/>
      <c r="E10" s="801" t="s">
        <v>99</v>
      </c>
      <c r="F10" s="800"/>
      <c r="G10" s="801" t="s">
        <v>100</v>
      </c>
      <c r="H10" s="800"/>
      <c r="I10" s="801" t="s">
        <v>101</v>
      </c>
      <c r="J10" s="800"/>
      <c r="K10" s="801" t="s">
        <v>76</v>
      </c>
      <c r="L10" s="800"/>
      <c r="M10" s="801" t="s">
        <v>102</v>
      </c>
      <c r="N10" s="790"/>
      <c r="O10" s="790"/>
      <c r="P10" s="790"/>
      <c r="Q10" s="790"/>
      <c r="R10" s="800"/>
    </row>
    <row r="11" spans="1:85" ht="52.5" customHeight="1">
      <c r="A11" s="791" t="s">
        <v>103</v>
      </c>
      <c r="B11" s="792"/>
      <c r="C11" s="792"/>
      <c r="D11" s="793"/>
      <c r="E11" s="794" t="s">
        <v>104</v>
      </c>
      <c r="F11" s="795"/>
      <c r="G11" s="796">
        <v>1053704</v>
      </c>
      <c r="H11" s="797"/>
      <c r="I11" s="796">
        <v>365251010501182</v>
      </c>
      <c r="J11" s="797"/>
      <c r="K11" s="802">
        <v>26000</v>
      </c>
      <c r="L11" s="803"/>
      <c r="M11" s="791" t="s">
        <v>105</v>
      </c>
      <c r="N11" s="792"/>
      <c r="O11" s="792"/>
      <c r="P11" s="792"/>
      <c r="Q11" s="792"/>
      <c r="R11" s="793"/>
      <c r="S11" s="45" t="s">
        <v>106</v>
      </c>
    </row>
    <row r="12" spans="1:85" ht="54" customHeight="1">
      <c r="A12" s="791" t="s">
        <v>107</v>
      </c>
      <c r="B12" s="792"/>
      <c r="C12" s="792"/>
      <c r="D12" s="793"/>
      <c r="E12" s="794" t="s">
        <v>108</v>
      </c>
      <c r="F12" s="795"/>
      <c r="G12" s="796">
        <v>1050843</v>
      </c>
      <c r="H12" s="797"/>
      <c r="I12" s="796">
        <v>365251010500989</v>
      </c>
      <c r="J12" s="797"/>
      <c r="K12" s="802">
        <v>129310</v>
      </c>
      <c r="L12" s="803"/>
      <c r="M12" s="791" t="s">
        <v>109</v>
      </c>
      <c r="N12" s="792"/>
      <c r="O12" s="792"/>
      <c r="P12" s="792"/>
      <c r="Q12" s="792"/>
      <c r="R12" s="793"/>
    </row>
    <row r="13" spans="1:85" ht="52.5" customHeight="1">
      <c r="A13" s="791" t="s">
        <v>110</v>
      </c>
      <c r="B13" s="792"/>
      <c r="C13" s="792"/>
      <c r="D13" s="793"/>
      <c r="E13" s="794" t="s">
        <v>104</v>
      </c>
      <c r="F13" s="795"/>
      <c r="G13" s="796">
        <v>1053632</v>
      </c>
      <c r="H13" s="797"/>
      <c r="I13" s="796">
        <v>365251010501170</v>
      </c>
      <c r="J13" s="797"/>
      <c r="K13" s="802">
        <v>12925</v>
      </c>
      <c r="L13" s="803"/>
      <c r="M13" s="791" t="s">
        <v>111</v>
      </c>
      <c r="N13" s="792"/>
      <c r="O13" s="792"/>
      <c r="P13" s="792"/>
      <c r="Q13" s="792"/>
      <c r="R13" s="793"/>
    </row>
    <row r="14" spans="1:85">
      <c r="A14" s="804"/>
      <c r="B14" s="805"/>
      <c r="C14" s="805"/>
      <c r="D14" s="806"/>
      <c r="E14" s="809"/>
      <c r="F14" s="810"/>
      <c r="G14" s="807"/>
      <c r="H14" s="808"/>
      <c r="I14" s="807"/>
      <c r="J14" s="808"/>
      <c r="K14" s="815"/>
      <c r="L14" s="816"/>
      <c r="M14" s="817"/>
      <c r="N14" s="818"/>
      <c r="O14" s="818"/>
      <c r="P14" s="818"/>
      <c r="Q14" s="818"/>
      <c r="R14" s="819"/>
    </row>
    <row r="15" spans="1:85">
      <c r="A15" s="801" t="s">
        <v>112</v>
      </c>
      <c r="B15" s="790"/>
      <c r="C15" s="790"/>
      <c r="D15" s="790"/>
      <c r="E15" s="790"/>
      <c r="F15" s="790"/>
      <c r="G15" s="790"/>
      <c r="H15" s="790"/>
      <c r="I15" s="790"/>
      <c r="J15" s="790"/>
      <c r="K15" s="790"/>
      <c r="L15" s="790"/>
      <c r="M15" s="790"/>
      <c r="N15" s="790"/>
      <c r="O15" s="790"/>
      <c r="P15" s="790"/>
      <c r="Q15" s="790"/>
      <c r="R15" s="80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11" t="s">
        <v>113</v>
      </c>
      <c r="B16" s="77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98" t="s">
        <v>115</v>
      </c>
      <c r="D18" s="798"/>
      <c r="E18" s="43"/>
      <c r="F18" s="43"/>
      <c r="G18" s="42"/>
      <c r="H18" s="42"/>
      <c r="I18" s="798" t="s">
        <v>116</v>
      </c>
      <c r="J18" s="798"/>
      <c r="K18" s="798"/>
      <c r="L18" s="43"/>
      <c r="M18" s="43"/>
      <c r="N18" s="43"/>
      <c r="O18" s="43"/>
      <c r="P18" s="812">
        <f ca="1">NOW()</f>
        <v>44589.582239699077</v>
      </c>
      <c r="Q18" s="813"/>
      <c r="R18" s="81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78" t="s">
        <v>117</v>
      </c>
      <c r="B19" s="778"/>
      <c r="E19" s="820" t="s">
        <v>118</v>
      </c>
      <c r="F19" s="821"/>
      <c r="G19" s="821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80" t="s">
        <v>120</v>
      </c>
      <c r="B20" s="780"/>
      <c r="F20" s="780" t="s">
        <v>120</v>
      </c>
      <c r="G20" s="78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3" zoomScale="90" zoomScaleNormal="90" workbookViewId="0">
      <selection activeCell="G32" sqref="G32"/>
    </sheetView>
  </sheetViews>
  <sheetFormatPr defaultRowHeight="13.8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>
      <c r="A1" s="559" t="s">
        <v>349</v>
      </c>
      <c r="B1" s="559"/>
    </row>
    <row r="2" spans="1:8">
      <c r="A2" s="560" t="s">
        <v>350</v>
      </c>
      <c r="B2" s="559"/>
    </row>
    <row r="3" spans="1:8">
      <c r="A3" s="559" t="s">
        <v>351</v>
      </c>
      <c r="B3" s="559"/>
    </row>
    <row r="4" spans="1:8" ht="27.6">
      <c r="A4" s="559" t="s">
        <v>352</v>
      </c>
      <c r="B4" s="559"/>
      <c r="C4" s="184" t="s">
        <v>353</v>
      </c>
      <c r="D4" s="196" t="s">
        <v>354</v>
      </c>
      <c r="E4" s="164" t="s">
        <v>355</v>
      </c>
      <c r="F4" s="196" t="s">
        <v>356</v>
      </c>
    </row>
    <row r="5" spans="1:8">
      <c r="A5" s="560" t="s">
        <v>357</v>
      </c>
      <c r="B5" s="559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238000</v>
      </c>
    </row>
    <row r="6" spans="1:8" ht="14.4" thickBot="1">
      <c r="A6" s="557" t="s">
        <v>358</v>
      </c>
      <c r="B6" s="558"/>
      <c r="C6" s="183" t="s">
        <v>359</v>
      </c>
      <c r="D6" s="198">
        <f>VLOOKUP("銀行存款-縣庫存款",平衡!$E$13:$H$47,4,0)+VLOOKUP("零用及週轉金",平衡!$D$13:$H$47,5,0)</f>
        <v>3007799</v>
      </c>
      <c r="E6" s="198" t="e">
        <f>VLOOKUP("基金餘額",平衡!$K$13:$U$70,7,0)+C5</f>
        <v>#N/A</v>
      </c>
      <c r="F6" s="169" t="s">
        <v>360</v>
      </c>
    </row>
    <row r="7" spans="1:8" ht="14.4" thickBot="1">
      <c r="A7" s="557" t="s">
        <v>361</v>
      </c>
      <c r="B7" s="558"/>
      <c r="C7" s="183" t="s">
        <v>362</v>
      </c>
      <c r="D7" s="198">
        <f>VLOOKUP("銀行存款-專戶存款",平衡!$E$13:$H$47,4,0)+VLOOKUP("其他預付款",平衡!$D$13:$H$47,5,0)</f>
        <v>32200930</v>
      </c>
      <c r="E7" s="198">
        <f>VLOOKUP("應付代收款",平衡!$N$13:$U$47,7,0)+VLOOKUP("存入保證金",平衡!$N$13:$U$47,7,0)</f>
        <v>32200930</v>
      </c>
      <c r="F7" s="169" t="s">
        <v>363</v>
      </c>
    </row>
    <row r="8" spans="1:8" ht="20.399999999999999" thickBot="1">
      <c r="A8" s="80" t="s">
        <v>129</v>
      </c>
      <c r="B8" s="81" t="s">
        <v>130</v>
      </c>
      <c r="C8" s="183" t="s">
        <v>364</v>
      </c>
      <c r="D8" s="199">
        <f>VLOOKUP("合計：",平衡!$A$13:$H$47,8,0)</f>
        <v>75063264</v>
      </c>
      <c r="E8" s="199">
        <f>VLOOKUP("合計：",平衡!$K$13:$U$47,10,0)</f>
        <v>75063264</v>
      </c>
    </row>
    <row r="9" spans="1:8" ht="16.8" thickBot="1">
      <c r="A9" s="464" t="s">
        <v>131</v>
      </c>
      <c r="B9" s="77" t="s">
        <v>132</v>
      </c>
      <c r="C9" s="183" t="s">
        <v>365</v>
      </c>
      <c r="D9" s="199">
        <f>VLOOKUP("基金用途",餘絀表!$C$16:$T$45,18,0)</f>
        <v>35142071</v>
      </c>
      <c r="E9" s="199">
        <f>VLOOKUP("合       計",各項費用!$D$12:$Q$86,14)</f>
        <v>35142071</v>
      </c>
      <c r="F9" s="199">
        <f>縣庫對帳!P3</f>
        <v>35142071</v>
      </c>
    </row>
    <row r="10" spans="1:8" ht="33" thickBot="1">
      <c r="A10" s="464" t="s">
        <v>133</v>
      </c>
      <c r="B10" s="77" t="s">
        <v>134</v>
      </c>
      <c r="C10" s="183" t="s">
        <v>366</v>
      </c>
      <c r="D10" s="199">
        <f>VLOOKUP("基金來源",餘絀表!$C$16:$T$45,18,0)</f>
        <v>35674108</v>
      </c>
      <c r="E10" s="199">
        <f>縣庫對帳!N3</f>
        <v>35674108</v>
      </c>
      <c r="F10" s="199"/>
      <c r="G10" s="199"/>
      <c r="H10" s="164" t="e">
        <f>D13-E13</f>
        <v>#N/A</v>
      </c>
    </row>
    <row r="11" spans="1:8" ht="27" customHeight="1">
      <c r="A11" s="561" t="s">
        <v>29</v>
      </c>
      <c r="B11" s="561" t="s">
        <v>135</v>
      </c>
      <c r="C11" s="183" t="s">
        <v>367</v>
      </c>
      <c r="D11" s="199">
        <f>VLOOKUP("政府撥入收入",餘絀表!$C$16:$T$45,18,0)</f>
        <v>35623693</v>
      </c>
      <c r="E11" s="199"/>
      <c r="F11" s="199">
        <f>VLOOKUP("政府撥入收入",收支!$B$14:$N$60,13,0)</f>
        <v>35623693</v>
      </c>
      <c r="G11" s="199">
        <f>VLOOKUP("政府撥入收入",對照表!$B$1:$E$28,4,0)</f>
        <v>35623693</v>
      </c>
    </row>
    <row r="12" spans="1:8" ht="27.6">
      <c r="A12" s="564"/>
      <c r="B12" s="564"/>
      <c r="C12" s="183" t="s">
        <v>368</v>
      </c>
      <c r="D12" s="199"/>
      <c r="E12" s="199"/>
      <c r="F12" s="199">
        <f>VLOOKUP("收入",收支!$A$14:$N$60,14,0)</f>
        <v>42977960</v>
      </c>
      <c r="G12" s="199">
        <f>VLOOKUP("基金來源",對照表!$A$1:$E$28,5,0)</f>
        <v>42977960</v>
      </c>
    </row>
    <row r="13" spans="1:8">
      <c r="A13" s="564"/>
      <c r="B13" s="564"/>
      <c r="C13" s="183" t="s">
        <v>369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5800494</v>
      </c>
      <c r="G13" s="197" t="e">
        <f>IF(E13&gt;=0,"本期賸餘","本期短絀")</f>
        <v>#N/A</v>
      </c>
    </row>
    <row r="14" spans="1:8">
      <c r="A14" s="564"/>
      <c r="B14" s="564"/>
      <c r="C14" s="183" t="s">
        <v>370</v>
      </c>
      <c r="D14" s="199">
        <f>IF(封面!J10=12,0,VLOOKUP("本期賸餘(短絀－)",餘絀表!$C$16:$T$48,18,0))</f>
        <v>532037</v>
      </c>
      <c r="E14" s="199"/>
      <c r="F14" s="199">
        <f>IF(封面!K11=12,0,VLOOKUP("本期賸餘(短絀)",對照表!$A$1:$C$28,3,0))</f>
        <v>532037</v>
      </c>
      <c r="G14" s="197"/>
    </row>
    <row r="15" spans="1:8">
      <c r="A15" s="564"/>
      <c r="B15" s="564"/>
      <c r="C15" s="183" t="s">
        <v>371</v>
      </c>
      <c r="D15" s="199">
        <f>IF(封面!J12=12,0,VLOOKUP($G$15,平衡!$K$13:$U$47,10,0))</f>
        <v>42862334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371</v>
      </c>
    </row>
    <row r="16" spans="1:8" ht="14.4" thickBot="1">
      <c r="A16" s="565"/>
      <c r="B16" s="565"/>
      <c r="C16" s="183" t="s">
        <v>372</v>
      </c>
      <c r="D16" s="199">
        <f>VLOOKUP("國民教育計畫",主要業務!$B$15:$J$24,7,0)</f>
        <v>2397440</v>
      </c>
      <c r="E16" s="199">
        <f>VLOOKUP("國民教育計畫",餘絀表!$C$16:$T$45,8,0)</f>
        <v>2397440</v>
      </c>
    </row>
    <row r="17" spans="1:10">
      <c r="A17" s="561" t="s">
        <v>147</v>
      </c>
      <c r="B17" s="561" t="s">
        <v>136</v>
      </c>
      <c r="C17" s="183" t="s">
        <v>373</v>
      </c>
      <c r="D17" s="199">
        <f>主要業務!H17</f>
        <v>35142071</v>
      </c>
      <c r="E17" s="199">
        <f>VLOOKUP("國民教育計畫",餘絀表!$C$16:$T$45,18,0)</f>
        <v>35142071</v>
      </c>
    </row>
    <row r="18" spans="1:10">
      <c r="A18" s="562"/>
      <c r="B18" s="564"/>
      <c r="C18" s="183" t="s">
        <v>374</v>
      </c>
      <c r="D18" s="199">
        <f>主要業務!H20</f>
        <v>0</v>
      </c>
      <c r="E18" s="199" t="e">
        <f>VLOOKUP("建築及設備計畫",餘絀表!$C$16:$T$45,9,0)</f>
        <v>#N/A</v>
      </c>
    </row>
    <row r="19" spans="1:10">
      <c r="A19" s="562"/>
      <c r="B19" s="564"/>
      <c r="C19" s="183" t="s">
        <v>375</v>
      </c>
      <c r="D19" s="199">
        <f>主要業務!H22</f>
        <v>0</v>
      </c>
      <c r="E19" s="199" t="e">
        <f>VLOOKUP("建築及設備計畫",餘絀表!$C$16:$T$45,18,0)</f>
        <v>#N/A</v>
      </c>
    </row>
    <row r="20" spans="1:10">
      <c r="A20" s="562"/>
      <c r="B20" s="564"/>
      <c r="C20" s="183" t="s">
        <v>376</v>
      </c>
      <c r="D20" s="199">
        <f>VLOOKUP("用人費用",各項費用!$F$12:$Q$100,12,0)</f>
        <v>34059227</v>
      </c>
      <c r="E20" s="199">
        <f>VLOOKUP("人事支出",收支!$B$14:$N$60,13,0)</f>
        <v>34059227</v>
      </c>
      <c r="F20" s="199">
        <f>VLOOKUP("用人費用",對照表!$B$1:$E$28,4,0)</f>
        <v>34059227</v>
      </c>
    </row>
    <row r="21" spans="1:10">
      <c r="A21" s="562"/>
      <c r="B21" s="564"/>
      <c r="C21" s="183" t="s">
        <v>377</v>
      </c>
      <c r="D21" s="199">
        <f>IF(E21=0,0,資產!F10+H21)</f>
        <v>1998092</v>
      </c>
      <c r="E21" s="199">
        <f>VLOOKUP("折舊、折耗及攤銷",收支!$B$14:$N$60,13,0)</f>
        <v>1998092</v>
      </c>
      <c r="F21" s="199">
        <f>VLOOKUP("折舊、折耗及攤銷",對照表!$H$1:$J$28,3,0)</f>
        <v>1998092</v>
      </c>
      <c r="G21" s="460" t="s">
        <v>378</v>
      </c>
      <c r="H21" s="461">
        <f>464532-4645+1344298+291060+136125+(1065577+40293+453624)</f>
        <v>3790864</v>
      </c>
    </row>
    <row r="22" spans="1:10">
      <c r="A22" s="562"/>
      <c r="B22" s="564"/>
      <c r="C22" s="470"/>
      <c r="D22" s="186"/>
      <c r="E22" s="186"/>
      <c r="F22" s="186"/>
      <c r="G22" s="460"/>
      <c r="H22" s="471"/>
    </row>
    <row r="23" spans="1:10">
      <c r="A23" s="562"/>
      <c r="B23" s="570"/>
      <c r="C23" s="489"/>
      <c r="D23" s="568" t="s">
        <v>379</v>
      </c>
      <c r="E23" s="568"/>
      <c r="F23" s="568"/>
      <c r="G23" s="490" t="s">
        <v>380</v>
      </c>
      <c r="H23" s="491"/>
    </row>
    <row r="24" spans="1:10">
      <c r="A24" s="562"/>
      <c r="B24" s="570"/>
      <c r="C24" s="489"/>
      <c r="D24" s="492" t="s">
        <v>381</v>
      </c>
      <c r="E24" s="493" t="s">
        <v>382</v>
      </c>
      <c r="F24" s="494" t="s">
        <v>383</v>
      </c>
      <c r="G24" s="495"/>
      <c r="H24" s="495"/>
      <c r="I24" s="164"/>
    </row>
    <row r="25" spans="1:10">
      <c r="A25" s="562"/>
      <c r="B25" s="570"/>
      <c r="C25" s="496" t="s">
        <v>384</v>
      </c>
      <c r="D25" s="496">
        <v>1</v>
      </c>
      <c r="E25" s="496"/>
      <c r="F25" s="497">
        <f t="shared" ref="F25:F27" si="0">SUM(D25:E25)</f>
        <v>1</v>
      </c>
      <c r="G25" s="497">
        <v>1</v>
      </c>
      <c r="H25" s="498"/>
      <c r="I25" s="164"/>
    </row>
    <row r="26" spans="1:10" ht="14.4" thickBot="1">
      <c r="A26" s="563"/>
      <c r="B26" s="571"/>
      <c r="C26" s="496" t="s">
        <v>385</v>
      </c>
      <c r="D26" s="496">
        <v>0</v>
      </c>
      <c r="E26" s="496"/>
      <c r="F26" s="497">
        <f t="shared" si="0"/>
        <v>0</v>
      </c>
      <c r="G26" s="497">
        <v>0</v>
      </c>
      <c r="H26" s="498"/>
      <c r="I26" s="164"/>
    </row>
    <row r="27" spans="1:10" ht="16.8" thickBot="1">
      <c r="A27" s="464" t="s">
        <v>137</v>
      </c>
      <c r="B27" s="488" t="s">
        <v>148</v>
      </c>
      <c r="C27" s="496" t="s">
        <v>386</v>
      </c>
      <c r="D27" s="499">
        <v>1008069</v>
      </c>
      <c r="E27" s="499"/>
      <c r="F27" s="497">
        <f t="shared" si="0"/>
        <v>1008069</v>
      </c>
      <c r="G27" s="497">
        <v>1008069</v>
      </c>
      <c r="H27" s="498"/>
      <c r="I27" s="164"/>
    </row>
    <row r="28" spans="1:10" ht="16.8" customHeight="1" thickBot="1">
      <c r="A28" s="464" t="s">
        <v>71</v>
      </c>
      <c r="B28" s="488" t="s">
        <v>138</v>
      </c>
      <c r="C28" s="496" t="s">
        <v>387</v>
      </c>
      <c r="D28" s="500">
        <f>F28</f>
        <v>28077808</v>
      </c>
      <c r="E28" s="499"/>
      <c r="F28" s="501">
        <f>F31-(F25+F26+F27+F29+F30)</f>
        <v>28077808</v>
      </c>
      <c r="G28" s="497">
        <v>28077808</v>
      </c>
      <c r="H28" s="498"/>
      <c r="I28" s="164"/>
      <c r="J28" s="166"/>
    </row>
    <row r="29" spans="1:10" ht="16.8" thickBot="1">
      <c r="A29" s="464" t="s">
        <v>139</v>
      </c>
      <c r="B29" s="488" t="s">
        <v>140</v>
      </c>
      <c r="C29" s="496" t="s">
        <v>388</v>
      </c>
      <c r="D29" s="499">
        <f>3107026-E29</f>
        <v>1207026</v>
      </c>
      <c r="E29" s="499">
        <f>800000+300000+800000</f>
        <v>1900000</v>
      </c>
      <c r="F29" s="497">
        <f>SUM(D29:E29)</f>
        <v>3107026</v>
      </c>
      <c r="G29" s="497">
        <f>1207026+800000+800000+300000</f>
        <v>3107026</v>
      </c>
      <c r="H29" s="498"/>
      <c r="I29" s="164"/>
    </row>
    <row r="30" spans="1:10">
      <c r="A30" s="561" t="s">
        <v>141</v>
      </c>
      <c r="B30" s="569" t="s">
        <v>142</v>
      </c>
      <c r="C30" s="496" t="s">
        <v>389</v>
      </c>
      <c r="D30" s="499"/>
      <c r="E30" s="499"/>
      <c r="F30" s="497">
        <f>SUM(D30:E30)</f>
        <v>0</v>
      </c>
      <c r="G30" s="497">
        <v>0</v>
      </c>
      <c r="H30" s="498"/>
      <c r="I30" s="164"/>
    </row>
    <row r="31" spans="1:10">
      <c r="A31" s="564"/>
      <c r="B31" s="570"/>
      <c r="C31" s="502" t="s">
        <v>390</v>
      </c>
      <c r="D31" s="503">
        <f>SUM(D25:D30)</f>
        <v>30292904</v>
      </c>
      <c r="E31" s="503">
        <f>SUM(E25:E30)</f>
        <v>1900000</v>
      </c>
      <c r="F31" s="501">
        <f>VLOOKUP("銀行存款-專戶存款",平衡!$E$13:$H$46,4,0)</f>
        <v>32192904</v>
      </c>
      <c r="G31" s="504">
        <f>SUM(G25:G30)</f>
        <v>32192904</v>
      </c>
      <c r="H31" s="498"/>
      <c r="I31" s="164"/>
    </row>
    <row r="32" spans="1:10" ht="14.4" thickBot="1">
      <c r="A32" s="563"/>
      <c r="B32" s="563"/>
      <c r="C32" s="502" t="s">
        <v>464</v>
      </c>
      <c r="D32" s="566">
        <f>SUM(D31:E31)</f>
        <v>32192904</v>
      </c>
      <c r="E32" s="567"/>
      <c r="F32" s="186"/>
      <c r="G32" s="186"/>
      <c r="H32" s="164"/>
      <c r="I32" s="164"/>
    </row>
    <row r="33" spans="1:9" ht="14.4" thickBot="1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>
      <c r="A35" s="200"/>
      <c r="B35" s="200"/>
      <c r="D35" s="183"/>
      <c r="E35" s="183"/>
      <c r="F35" s="199"/>
      <c r="G35" s="199"/>
      <c r="H35" s="186"/>
    </row>
    <row r="36" spans="1:9" ht="20.399999999999999" thickBot="1">
      <c r="A36" s="75"/>
      <c r="B36" s="75"/>
    </row>
    <row r="37" spans="1:9" ht="20.399999999999999" thickBot="1">
      <c r="A37" s="78" t="s">
        <v>129</v>
      </c>
      <c r="B37" s="79" t="s">
        <v>143</v>
      </c>
    </row>
    <row r="38" spans="1:9" ht="16.8" thickBot="1">
      <c r="A38" s="464" t="s">
        <v>144</v>
      </c>
      <c r="B38" s="77" t="s">
        <v>164</v>
      </c>
    </row>
    <row r="39" spans="1:9" ht="33" thickBot="1">
      <c r="A39" s="464" t="s">
        <v>131</v>
      </c>
      <c r="B39" s="77" t="s">
        <v>165</v>
      </c>
    </row>
    <row r="40" spans="1:9" ht="16.8" thickBot="1">
      <c r="A40" s="464" t="s">
        <v>145</v>
      </c>
      <c r="B40" s="77" t="s">
        <v>146</v>
      </c>
    </row>
  </sheetData>
  <mergeCells count="15">
    <mergeCell ref="D32:E32"/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4" priority="31" stopIfTrue="1">
      <formula>$D$16&lt;&gt;$E$16</formula>
    </cfRule>
  </conditionalFormatting>
  <conditionalFormatting sqref="D17:E17">
    <cfRule type="expression" dxfId="43" priority="30" stopIfTrue="1">
      <formula>$D17&lt;&gt;$E17</formula>
    </cfRule>
  </conditionalFormatting>
  <conditionalFormatting sqref="D18:E18 E19">
    <cfRule type="expression" dxfId="42" priority="29" stopIfTrue="1">
      <formula>$D$18&lt;&gt;$E$18</formula>
    </cfRule>
  </conditionalFormatting>
  <conditionalFormatting sqref="G31">
    <cfRule type="expression" dxfId="41" priority="28" stopIfTrue="1">
      <formula>$F$33&lt;&gt;$G$33</formula>
    </cfRule>
  </conditionalFormatting>
  <conditionalFormatting sqref="G32">
    <cfRule type="expression" dxfId="40" priority="27" stopIfTrue="1">
      <formula>$H$34&lt;&gt;0</formula>
    </cfRule>
  </conditionalFormatting>
  <conditionalFormatting sqref="G33">
    <cfRule type="expression" dxfId="39" priority="26" stopIfTrue="1">
      <formula>$F$33&lt;&gt;$G$33</formula>
    </cfRule>
  </conditionalFormatting>
  <conditionalFormatting sqref="G34">
    <cfRule type="expression" dxfId="38" priority="25" stopIfTrue="1">
      <formula>$H$34&lt;&gt;0</formula>
    </cfRule>
  </conditionalFormatting>
  <conditionalFormatting sqref="G31">
    <cfRule type="expression" dxfId="37" priority="24" stopIfTrue="1">
      <formula>$F$33&lt;&gt;$G$33</formula>
    </cfRule>
  </conditionalFormatting>
  <conditionalFormatting sqref="D14 F14:F15">
    <cfRule type="expression" dxfId="36" priority="23">
      <formula>$D$14&lt;&gt;$F$14</formula>
    </cfRule>
  </conditionalFormatting>
  <conditionalFormatting sqref="F15">
    <cfRule type="expression" dxfId="35" priority="20">
      <formula>$E$15&lt;&gt;$F$15</formula>
    </cfRule>
    <cfRule type="expression" dxfId="34" priority="21">
      <formula>$D$15&lt;&gt;$F$15</formula>
    </cfRule>
    <cfRule type="expression" dxfId="33" priority="22">
      <formula>$D$14&lt;&gt;$F$14</formula>
    </cfRule>
  </conditionalFormatting>
  <conditionalFormatting sqref="D15">
    <cfRule type="expression" dxfId="32" priority="18">
      <formula>$D$15&lt;&gt;$F$15</formula>
    </cfRule>
    <cfRule type="expression" dxfId="31" priority="19">
      <formula>$D$15&lt;&gt;$E$15</formula>
    </cfRule>
  </conditionalFormatting>
  <conditionalFormatting sqref="E15">
    <cfRule type="expression" dxfId="30" priority="16">
      <formula>$E$15&lt;&gt;$F$15</formula>
    </cfRule>
    <cfRule type="expression" dxfId="29" priority="17">
      <formula>$D$15&lt;&gt;$E$15</formula>
    </cfRule>
  </conditionalFormatting>
  <conditionalFormatting sqref="D7:E7">
    <cfRule type="expression" dxfId="28" priority="15">
      <formula>$D$7&lt;&gt;$E$7</formula>
    </cfRule>
  </conditionalFormatting>
  <conditionalFormatting sqref="D8:E8">
    <cfRule type="expression" dxfId="27" priority="14">
      <formula>$D$8&lt;&gt;$E$8</formula>
    </cfRule>
  </conditionalFormatting>
  <conditionalFormatting sqref="E16:E19">
    <cfRule type="expression" dxfId="26" priority="13" stopIfTrue="1">
      <formula>#REF!&lt;&gt;#REF!</formula>
    </cfRule>
  </conditionalFormatting>
  <conditionalFormatting sqref="E6:E7">
    <cfRule type="expression" dxfId="25" priority="12" stopIfTrue="1">
      <formula>$D13&lt;&gt;$F13</formula>
    </cfRule>
  </conditionalFormatting>
  <conditionalFormatting sqref="D20:F20">
    <cfRule type="expression" dxfId="24" priority="11">
      <formula>$D$20&lt;&gt;$E$20</formula>
    </cfRule>
  </conditionalFormatting>
  <conditionalFormatting sqref="D20:F20">
    <cfRule type="expression" dxfId="23" priority="10">
      <formula>$E$20&lt;&gt;$F$20</formula>
    </cfRule>
  </conditionalFormatting>
  <conditionalFormatting sqref="D21:F23 D24">
    <cfRule type="expression" dxfId="22" priority="9">
      <formula>$D$21&lt;&gt;$E$21</formula>
    </cfRule>
  </conditionalFormatting>
  <conditionalFormatting sqref="D21:F23 D24">
    <cfRule type="expression" dxfId="21" priority="8">
      <formula>$D$21&lt;&gt;$F$21</formula>
    </cfRule>
  </conditionalFormatting>
  <conditionalFormatting sqref="D9:F9">
    <cfRule type="expression" dxfId="20" priority="6">
      <formula>$D$9&lt;&gt;$F$9</formula>
    </cfRule>
    <cfRule type="expression" dxfId="19" priority="7">
      <formula>$D$9&lt;&gt;$E$9</formula>
    </cfRule>
  </conditionalFormatting>
  <conditionalFormatting sqref="D10:G10">
    <cfRule type="expression" dxfId="18" priority="5">
      <formula>$D$10&lt;&gt;$E$10</formula>
    </cfRule>
  </conditionalFormatting>
  <conditionalFormatting sqref="F12:G12">
    <cfRule type="expression" dxfId="17" priority="4">
      <formula>$F$12&lt;&gt;$G$12</formula>
    </cfRule>
  </conditionalFormatting>
  <conditionalFormatting sqref="F35:G35">
    <cfRule type="expression" dxfId="16" priority="3" stopIfTrue="1">
      <formula>$F$35&lt;&gt;$G$35</formula>
    </cfRule>
  </conditionalFormatting>
  <conditionalFormatting sqref="F30 F25:G26">
    <cfRule type="expression" dxfId="15" priority="2" stopIfTrue="1">
      <formula>$F26&lt;&gt;$G26</formula>
    </cfRule>
  </conditionalFormatting>
  <conditionalFormatting sqref="G31 F25:F31">
    <cfRule type="expression" dxfId="14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287</v>
      </c>
    </row>
    <row r="4" spans="1:15" ht="36.6">
      <c r="A4" s="552" t="s">
        <v>286</v>
      </c>
      <c r="B4" s="553"/>
      <c r="C4" s="553"/>
      <c r="D4" s="553"/>
      <c r="E4" s="553"/>
      <c r="F4" s="553"/>
      <c r="G4" s="553"/>
      <c r="H4" s="553"/>
      <c r="I4" s="553"/>
      <c r="J4" s="553"/>
      <c r="K4" s="553"/>
      <c r="L4" s="553"/>
      <c r="M4" s="553"/>
      <c r="N4" s="553"/>
    </row>
    <row r="5" spans="1:15" ht="59.25" customHeight="1"/>
    <row r="6" spans="1:15" ht="59.25" customHeight="1"/>
    <row r="7" spans="1:15" ht="36.6">
      <c r="C7" s="554" t="s">
        <v>122</v>
      </c>
      <c r="D7" s="554"/>
      <c r="E7" s="554"/>
      <c r="F7" s="554"/>
      <c r="G7" s="554"/>
      <c r="H7" s="554"/>
      <c r="I7" s="554"/>
      <c r="J7" s="554"/>
      <c r="K7" s="554"/>
      <c r="L7" s="554"/>
    </row>
    <row r="8" spans="1:15" ht="51.75" customHeight="1"/>
    <row r="9" spans="1:15" ht="51.75" customHeight="1"/>
    <row r="10" spans="1:15" s="67" customFormat="1" ht="33">
      <c r="C10" s="66"/>
      <c r="D10" s="66"/>
      <c r="E10" s="555" t="s">
        <v>123</v>
      </c>
      <c r="F10" s="555"/>
      <c r="G10" s="555"/>
      <c r="H10" s="67">
        <v>110</v>
      </c>
      <c r="I10" s="67" t="s">
        <v>124</v>
      </c>
      <c r="J10" s="67">
        <v>11</v>
      </c>
      <c r="K10" s="73" t="s">
        <v>125</v>
      </c>
      <c r="L10" s="74" t="s">
        <v>128</v>
      </c>
      <c r="O10" s="67">
        <v>30</v>
      </c>
    </row>
    <row r="15" spans="1:15" s="64" customFormat="1" ht="34.5" customHeight="1">
      <c r="B15" s="556" t="s">
        <v>126</v>
      </c>
      <c r="C15" s="556"/>
      <c r="D15" s="556"/>
      <c r="E15" s="556"/>
      <c r="F15" s="556"/>
      <c r="H15" s="65"/>
      <c r="I15" s="65" t="s">
        <v>127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G16" sqref="G16:AD32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>
      <c r="AE1" s="581"/>
      <c r="AF1" s="581"/>
      <c r="AG1" s="581"/>
      <c r="AH1" s="581"/>
      <c r="AI1" s="581"/>
    </row>
    <row r="2" spans="2:35" ht="9" customHeight="1">
      <c r="B2" s="474"/>
      <c r="C2" s="585" t="str">
        <f>[1]封面!$A$4</f>
        <v>彰化縣地方教育發展基金－彰化縣秀水鄉馬興國民小學</v>
      </c>
      <c r="D2" s="585"/>
      <c r="E2" s="585"/>
      <c r="F2" s="585"/>
      <c r="G2" s="585"/>
      <c r="H2" s="585"/>
      <c r="I2" s="585"/>
      <c r="J2" s="585"/>
      <c r="K2" s="585"/>
      <c r="L2" s="585"/>
      <c r="M2" s="585"/>
      <c r="N2" s="585"/>
      <c r="O2" s="585"/>
      <c r="P2" s="585"/>
      <c r="Q2" s="585"/>
      <c r="R2" s="585"/>
      <c r="S2" s="585"/>
      <c r="T2" s="585"/>
      <c r="U2" s="585"/>
      <c r="V2" s="585"/>
      <c r="W2" s="585"/>
      <c r="X2" s="585"/>
      <c r="Y2" s="585"/>
      <c r="Z2" s="585"/>
      <c r="AA2" s="585"/>
      <c r="AB2" s="585"/>
      <c r="AC2" s="585"/>
      <c r="AD2" s="585"/>
      <c r="AE2" s="581"/>
      <c r="AF2" s="581"/>
      <c r="AG2" s="581"/>
      <c r="AH2" s="581"/>
      <c r="AI2" s="581"/>
    </row>
    <row r="3" spans="2:35" ht="18" customHeight="1">
      <c r="B3" s="474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</row>
    <row r="4" spans="2:35" ht="24" customHeight="1">
      <c r="B4" s="582" t="s">
        <v>9</v>
      </c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82"/>
      <c r="W4" s="582"/>
      <c r="X4" s="582"/>
      <c r="Y4" s="582"/>
      <c r="Z4" s="582"/>
      <c r="AA4" s="582"/>
      <c r="AB4" s="582"/>
      <c r="AC4" s="582"/>
      <c r="AD4" s="582"/>
    </row>
    <row r="5" spans="2:35" ht="7.5" customHeight="1">
      <c r="C5" s="583" t="str">
        <f>封面!$E$10&amp;封面!$H$10&amp;封面!$I$10&amp;封面!$J$10&amp;封面!$K$10&amp;封面!L10</f>
        <v>中華民國110年11月份</v>
      </c>
      <c r="D5" s="583"/>
      <c r="E5" s="583"/>
      <c r="F5" s="583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  <c r="W5" s="583"/>
      <c r="X5" s="583"/>
      <c r="Y5" s="583"/>
      <c r="Z5" s="583"/>
      <c r="AA5" s="583"/>
      <c r="AB5" s="583"/>
      <c r="AC5" s="583"/>
      <c r="AD5" s="583"/>
    </row>
    <row r="6" spans="2:35" ht="13.8" customHeight="1">
      <c r="C6" s="583"/>
      <c r="D6" s="583"/>
      <c r="E6" s="583"/>
      <c r="F6" s="583"/>
      <c r="G6" s="583"/>
      <c r="H6" s="583"/>
      <c r="I6" s="583"/>
      <c r="J6" s="583"/>
      <c r="K6" s="583"/>
      <c r="L6" s="583"/>
      <c r="M6" s="583"/>
      <c r="N6" s="583"/>
      <c r="O6" s="583"/>
      <c r="P6" s="583"/>
      <c r="Q6" s="583"/>
      <c r="R6" s="583"/>
      <c r="S6" s="583"/>
      <c r="T6" s="583"/>
      <c r="U6" s="583"/>
      <c r="V6" s="583"/>
      <c r="W6" s="583"/>
      <c r="X6" s="583"/>
      <c r="Y6" s="583"/>
      <c r="Z6" s="583"/>
      <c r="AA6" s="583"/>
      <c r="AB6" s="583"/>
      <c r="AC6" s="583"/>
      <c r="AD6" s="583"/>
    </row>
    <row r="7" spans="2:35" ht="16.2" customHeight="1">
      <c r="Y7" s="584" t="s">
        <v>1</v>
      </c>
      <c r="Z7" s="584"/>
      <c r="AA7" s="584"/>
      <c r="AB7" s="584"/>
      <c r="AC7" s="584"/>
      <c r="AD7" s="584"/>
    </row>
    <row r="8" spans="2:35" ht="3.75" customHeight="1"/>
    <row r="9" spans="2:35" s="86" customFormat="1" ht="12.75" customHeight="1">
      <c r="C9" s="575" t="s">
        <v>391</v>
      </c>
      <c r="D9" s="577"/>
      <c r="E9" s="473"/>
      <c r="F9" s="473"/>
      <c r="G9" s="572" t="s">
        <v>12</v>
      </c>
      <c r="H9" s="473"/>
      <c r="I9" s="473"/>
      <c r="J9" s="575" t="s">
        <v>10</v>
      </c>
      <c r="K9" s="576"/>
      <c r="L9" s="576"/>
      <c r="M9" s="576"/>
      <c r="N9" s="576"/>
      <c r="O9" s="576"/>
      <c r="P9" s="576"/>
      <c r="Q9" s="577"/>
      <c r="R9" s="473"/>
      <c r="S9" s="473"/>
      <c r="T9" s="575" t="s">
        <v>11</v>
      </c>
      <c r="U9" s="576"/>
      <c r="V9" s="576"/>
      <c r="W9" s="576"/>
      <c r="X9" s="576"/>
      <c r="Y9" s="576"/>
      <c r="Z9" s="576"/>
      <c r="AA9" s="576"/>
      <c r="AB9" s="576"/>
      <c r="AC9" s="576"/>
      <c r="AD9" s="577"/>
      <c r="AG9" s="216"/>
    </row>
    <row r="10" spans="2:35" s="86" customFormat="1" ht="2.25" customHeight="1">
      <c r="C10" s="578"/>
      <c r="D10" s="580"/>
      <c r="E10" s="473"/>
      <c r="F10" s="473"/>
      <c r="G10" s="573"/>
      <c r="H10" s="472"/>
      <c r="I10" s="473"/>
      <c r="J10" s="578"/>
      <c r="K10" s="579"/>
      <c r="L10" s="579"/>
      <c r="M10" s="579"/>
      <c r="N10" s="579"/>
      <c r="O10" s="579"/>
      <c r="P10" s="579"/>
      <c r="Q10" s="580"/>
      <c r="R10" s="473"/>
      <c r="S10" s="473"/>
      <c r="T10" s="578"/>
      <c r="U10" s="579"/>
      <c r="V10" s="579"/>
      <c r="W10" s="579"/>
      <c r="X10" s="579"/>
      <c r="Y10" s="579"/>
      <c r="Z10" s="579"/>
      <c r="AA10" s="579"/>
      <c r="AB10" s="579"/>
      <c r="AC10" s="579"/>
      <c r="AD10" s="580"/>
      <c r="AG10" s="216"/>
    </row>
    <row r="11" spans="2:35" s="86" customFormat="1" ht="12.75" hidden="1" customHeight="1">
      <c r="C11" s="473"/>
      <c r="D11" s="473"/>
      <c r="E11" s="473"/>
      <c r="F11" s="473"/>
      <c r="G11" s="573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6"/>
    </row>
    <row r="12" spans="2:35" s="86" customFormat="1" ht="15" customHeight="1">
      <c r="C12" s="586" t="s">
        <v>392</v>
      </c>
      <c r="D12" s="572" t="s">
        <v>7</v>
      </c>
      <c r="E12" s="473"/>
      <c r="F12" s="473"/>
      <c r="G12" s="573"/>
      <c r="H12" s="472"/>
      <c r="I12" s="473"/>
      <c r="J12" s="572" t="s">
        <v>14</v>
      </c>
      <c r="K12" s="572" t="s">
        <v>14</v>
      </c>
      <c r="L12" s="473"/>
      <c r="M12" s="572" t="s">
        <v>15</v>
      </c>
      <c r="N12" s="575" t="s">
        <v>13</v>
      </c>
      <c r="O12" s="576"/>
      <c r="P12" s="576"/>
      <c r="Q12" s="576"/>
      <c r="R12" s="577"/>
      <c r="S12" s="473"/>
      <c r="T12" s="586" t="s">
        <v>393</v>
      </c>
      <c r="U12" s="473"/>
      <c r="V12" s="473"/>
      <c r="W12" s="575" t="s">
        <v>15</v>
      </c>
      <c r="X12" s="576"/>
      <c r="Y12" s="577"/>
      <c r="Z12" s="473"/>
      <c r="AA12" s="594" t="s">
        <v>13</v>
      </c>
      <c r="AB12" s="595"/>
      <c r="AC12" s="595"/>
      <c r="AD12" s="596"/>
      <c r="AG12" s="216"/>
    </row>
    <row r="13" spans="2:35" s="86" customFormat="1" ht="14.25" customHeight="1">
      <c r="C13" s="587"/>
      <c r="D13" s="573"/>
      <c r="E13" s="475"/>
      <c r="F13" s="473"/>
      <c r="G13" s="573"/>
      <c r="H13" s="472"/>
      <c r="I13" s="473"/>
      <c r="J13" s="573"/>
      <c r="K13" s="573"/>
      <c r="L13" s="473"/>
      <c r="M13" s="573"/>
      <c r="N13" s="578"/>
      <c r="O13" s="579"/>
      <c r="P13" s="579"/>
      <c r="Q13" s="579"/>
      <c r="R13" s="580"/>
      <c r="S13" s="473"/>
      <c r="T13" s="587"/>
      <c r="U13" s="592"/>
      <c r="V13" s="473"/>
      <c r="W13" s="589"/>
      <c r="X13" s="590"/>
      <c r="Y13" s="591"/>
      <c r="Z13" s="473"/>
      <c r="AA13" s="597"/>
      <c r="AB13" s="598"/>
      <c r="AC13" s="598"/>
      <c r="AD13" s="599"/>
      <c r="AG13" s="216"/>
    </row>
    <row r="14" spans="2:35" s="86" customFormat="1" ht="13.5" hidden="1" customHeight="1">
      <c r="C14" s="587"/>
      <c r="D14" s="573"/>
      <c r="E14" s="475"/>
      <c r="F14" s="473"/>
      <c r="G14" s="573"/>
      <c r="H14" s="473"/>
      <c r="I14" s="473"/>
      <c r="J14" s="573"/>
      <c r="K14" s="573"/>
      <c r="L14" s="473"/>
      <c r="M14" s="573"/>
      <c r="N14" s="572" t="s">
        <v>4</v>
      </c>
      <c r="O14" s="572" t="s">
        <v>4</v>
      </c>
      <c r="P14" s="473"/>
      <c r="Q14" s="575" t="s">
        <v>5</v>
      </c>
      <c r="R14" s="577"/>
      <c r="S14" s="473"/>
      <c r="T14" s="587"/>
      <c r="U14" s="593"/>
      <c r="V14" s="473"/>
      <c r="W14" s="589"/>
      <c r="X14" s="590"/>
      <c r="Y14" s="591"/>
      <c r="Z14" s="473"/>
      <c r="AA14" s="592" t="s">
        <v>4</v>
      </c>
      <c r="AB14" s="473"/>
      <c r="AC14" s="473"/>
      <c r="AD14" s="592" t="s">
        <v>5</v>
      </c>
      <c r="AG14" s="216"/>
    </row>
    <row r="15" spans="2:35" s="86" customFormat="1" ht="18" customHeight="1">
      <c r="C15" s="588"/>
      <c r="D15" s="574"/>
      <c r="E15" s="475"/>
      <c r="F15" s="473"/>
      <c r="G15" s="574"/>
      <c r="H15" s="473"/>
      <c r="I15" s="473"/>
      <c r="J15" s="574"/>
      <c r="K15" s="574"/>
      <c r="L15" s="473"/>
      <c r="M15" s="574"/>
      <c r="N15" s="574"/>
      <c r="O15" s="574"/>
      <c r="P15" s="473"/>
      <c r="Q15" s="578"/>
      <c r="R15" s="580"/>
      <c r="S15" s="473"/>
      <c r="T15" s="588"/>
      <c r="U15" s="473"/>
      <c r="V15" s="473"/>
      <c r="W15" s="578"/>
      <c r="X15" s="579"/>
      <c r="Y15" s="580"/>
      <c r="Z15" s="473"/>
      <c r="AA15" s="593"/>
      <c r="AB15" s="473"/>
      <c r="AC15" s="473"/>
      <c r="AD15" s="593"/>
      <c r="AG15" s="216"/>
    </row>
    <row r="16" spans="2:35" ht="15">
      <c r="C16" s="384" t="s">
        <v>16</v>
      </c>
      <c r="D16" s="442" t="s">
        <v>394</v>
      </c>
      <c r="E16" s="385"/>
      <c r="F16" s="87"/>
      <c r="G16" s="176">
        <v>35721000</v>
      </c>
      <c r="H16" s="176"/>
      <c r="I16" s="176"/>
      <c r="J16" s="176">
        <v>1867000</v>
      </c>
      <c r="K16" s="176"/>
      <c r="L16" s="176"/>
      <c r="M16" s="176">
        <v>1717000</v>
      </c>
      <c r="N16" s="177">
        <v>150000</v>
      </c>
      <c r="O16" s="177"/>
      <c r="P16" s="108"/>
      <c r="Q16" s="182">
        <v>8.7361677344205013</v>
      </c>
      <c r="R16" s="108"/>
      <c r="S16" s="208"/>
      <c r="T16" s="210">
        <v>35674108</v>
      </c>
      <c r="U16" s="176"/>
      <c r="V16" s="177"/>
      <c r="W16" s="213">
        <v>35498000</v>
      </c>
      <c r="X16" s="210"/>
      <c r="Y16" s="176"/>
      <c r="Z16" s="177"/>
      <c r="AA16" s="181">
        <v>176108</v>
      </c>
      <c r="AB16" s="108"/>
      <c r="AC16" s="108"/>
      <c r="AD16" s="182">
        <v>0.49610682291960112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2" t="s">
        <v>17</v>
      </c>
      <c r="D17" s="442" t="s">
        <v>395</v>
      </c>
      <c r="E17" s="404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2514</v>
      </c>
      <c r="U17" s="179"/>
      <c r="V17" s="179"/>
      <c r="W17" s="214">
        <v>10000</v>
      </c>
      <c r="X17" s="211"/>
      <c r="Y17" s="179"/>
      <c r="Z17" s="179"/>
      <c r="AA17" s="179">
        <v>-7486</v>
      </c>
      <c r="AB17" s="109"/>
      <c r="AC17" s="109"/>
      <c r="AD17" s="111">
        <v>-74.86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>
      <c r="C18" s="405" t="s">
        <v>18</v>
      </c>
      <c r="D18" s="442" t="s">
        <v>396</v>
      </c>
      <c r="E18" s="403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2514</v>
      </c>
      <c r="U18" s="179"/>
      <c r="V18" s="179"/>
      <c r="W18" s="214">
        <v>10000</v>
      </c>
      <c r="X18" s="211"/>
      <c r="Y18" s="179"/>
      <c r="Z18" s="179"/>
      <c r="AA18" s="179">
        <v>-7486</v>
      </c>
      <c r="AB18" s="109"/>
      <c r="AC18" s="109"/>
      <c r="AD18" s="111">
        <v>-74.86</v>
      </c>
      <c r="AF18" s="85">
        <v>5</v>
      </c>
      <c r="AG18" s="215" t="str">
        <f t="shared" si="0"/>
        <v>填寫說明</v>
      </c>
    </row>
    <row r="19" spans="3:33" ht="15">
      <c r="C19" s="402" t="s">
        <v>19</v>
      </c>
      <c r="D19" s="442" t="s">
        <v>397</v>
      </c>
      <c r="E19" s="404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37418</v>
      </c>
      <c r="U19" s="178"/>
      <c r="V19" s="179"/>
      <c r="W19" s="214"/>
      <c r="X19" s="212"/>
      <c r="Y19" s="178"/>
      <c r="Z19" s="179"/>
      <c r="AA19" s="179">
        <v>37418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5" t="s">
        <v>398</v>
      </c>
      <c r="D20" s="442">
        <v>451</v>
      </c>
      <c r="E20" s="89"/>
      <c r="F20" s="89"/>
      <c r="G20" s="178"/>
      <c r="H20" s="178"/>
      <c r="I20" s="178"/>
      <c r="J20" s="178"/>
      <c r="K20" s="178"/>
      <c r="L20" s="178"/>
      <c r="M20" s="178"/>
      <c r="N20" s="179"/>
      <c r="O20" s="179"/>
      <c r="P20" s="109"/>
      <c r="Q20" s="111"/>
      <c r="R20" s="109"/>
      <c r="S20" s="209"/>
      <c r="T20" s="434">
        <v>37418</v>
      </c>
      <c r="U20" s="178"/>
      <c r="V20" s="179"/>
      <c r="W20" s="434"/>
      <c r="X20" s="212"/>
      <c r="Y20" s="178"/>
      <c r="Z20" s="179"/>
      <c r="AA20" s="179">
        <v>37418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>
      <c r="C21" s="405" t="s">
        <v>20</v>
      </c>
      <c r="D21" s="442" t="s">
        <v>399</v>
      </c>
      <c r="E21" s="404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/>
      <c r="U21" s="179"/>
      <c r="V21" s="179"/>
      <c r="W21" s="214"/>
      <c r="X21" s="212"/>
      <c r="Y21" s="178"/>
      <c r="Z21" s="178"/>
      <c r="AA21" s="178"/>
      <c r="AB21" s="109"/>
      <c r="AC21" s="111"/>
      <c r="AD21" s="111"/>
      <c r="AF21" s="85">
        <v>8</v>
      </c>
      <c r="AG21" s="215" t="str">
        <f t="shared" si="0"/>
        <v/>
      </c>
    </row>
    <row r="22" spans="3:33" ht="15">
      <c r="C22" s="402" t="s">
        <v>400</v>
      </c>
      <c r="D22" s="442" t="s">
        <v>401</v>
      </c>
      <c r="E22" s="403"/>
      <c r="F22" s="89"/>
      <c r="G22" s="178">
        <v>35700000</v>
      </c>
      <c r="H22" s="178"/>
      <c r="I22" s="178"/>
      <c r="J22" s="178">
        <v>1867000</v>
      </c>
      <c r="K22" s="179"/>
      <c r="L22" s="179"/>
      <c r="M22" s="179">
        <v>1717000</v>
      </c>
      <c r="N22" s="179">
        <v>150000</v>
      </c>
      <c r="O22" s="179"/>
      <c r="P22" s="109"/>
      <c r="Q22" s="111">
        <v>8.7361677344205013</v>
      </c>
      <c r="R22" s="109"/>
      <c r="S22" s="209"/>
      <c r="T22" s="212">
        <v>35623693</v>
      </c>
      <c r="U22" s="179"/>
      <c r="V22" s="179"/>
      <c r="W22" s="214">
        <v>35478000</v>
      </c>
      <c r="X22" s="212"/>
      <c r="Y22" s="178"/>
      <c r="Z22" s="178"/>
      <c r="AA22" s="178">
        <v>145693</v>
      </c>
      <c r="AB22" s="109"/>
      <c r="AC22" s="111"/>
      <c r="AD22" s="111">
        <v>0.41065730875472128</v>
      </c>
      <c r="AF22" s="85">
        <v>9</v>
      </c>
      <c r="AG22" s="215" t="str">
        <f t="shared" si="0"/>
        <v/>
      </c>
    </row>
    <row r="23" spans="3:33" ht="15">
      <c r="C23" s="405" t="s">
        <v>22</v>
      </c>
      <c r="D23" s="442" t="s">
        <v>402</v>
      </c>
      <c r="E23" s="404"/>
      <c r="F23" s="89"/>
      <c r="G23" s="178">
        <v>35700000</v>
      </c>
      <c r="H23" s="178"/>
      <c r="I23" s="178"/>
      <c r="J23" s="178">
        <v>1867000</v>
      </c>
      <c r="K23" s="178"/>
      <c r="L23" s="178"/>
      <c r="M23" s="178">
        <v>1717000</v>
      </c>
      <c r="N23" s="178">
        <v>150000</v>
      </c>
      <c r="O23" s="178"/>
      <c r="P23" s="110"/>
      <c r="Q23" s="111">
        <v>8.7361677344205013</v>
      </c>
      <c r="R23" s="111"/>
      <c r="S23" s="209"/>
      <c r="T23" s="212">
        <v>35623693</v>
      </c>
      <c r="U23" s="178"/>
      <c r="V23" s="179"/>
      <c r="W23" s="214">
        <v>35478000</v>
      </c>
      <c r="X23" s="212"/>
      <c r="Y23" s="178"/>
      <c r="Z23" s="178"/>
      <c r="AA23" s="178">
        <v>145693</v>
      </c>
      <c r="AB23" s="109"/>
      <c r="AC23" s="111"/>
      <c r="AD23" s="111">
        <v>0.41065730875472128</v>
      </c>
      <c r="AF23" s="85">
        <v>10</v>
      </c>
      <c r="AG23" s="215" t="str">
        <f t="shared" si="0"/>
        <v/>
      </c>
    </row>
    <row r="24" spans="3:33" ht="15">
      <c r="C24" s="174" t="s">
        <v>189</v>
      </c>
      <c r="D24" s="442" t="s">
        <v>403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10483</v>
      </c>
      <c r="U24" s="178"/>
      <c r="V24" s="179"/>
      <c r="W24" s="214">
        <v>10000</v>
      </c>
      <c r="X24" s="212"/>
      <c r="Y24" s="178"/>
      <c r="Z24" s="178"/>
      <c r="AA24" s="178">
        <v>483</v>
      </c>
      <c r="AB24" s="109"/>
      <c r="AC24" s="111"/>
      <c r="AD24" s="111">
        <v>4.83</v>
      </c>
      <c r="AF24" s="85">
        <v>11</v>
      </c>
      <c r="AG24" s="215" t="str">
        <f t="shared" si="0"/>
        <v/>
      </c>
    </row>
    <row r="25" spans="3:33" ht="15">
      <c r="C25" s="175" t="s">
        <v>404</v>
      </c>
      <c r="D25" s="442" t="s">
        <v>405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10483</v>
      </c>
      <c r="U25" s="178"/>
      <c r="V25" s="179"/>
      <c r="W25" s="214">
        <v>10000</v>
      </c>
      <c r="X25" s="212"/>
      <c r="Y25" s="178"/>
      <c r="Z25" s="178"/>
      <c r="AA25" s="178">
        <v>483</v>
      </c>
      <c r="AB25" s="109"/>
      <c r="AC25" s="111"/>
      <c r="AD25" s="111">
        <v>4.83</v>
      </c>
      <c r="AF25" s="85">
        <v>12</v>
      </c>
      <c r="AG25" s="215" t="str">
        <f t="shared" si="0"/>
        <v/>
      </c>
    </row>
    <row r="26" spans="3:33" ht="15">
      <c r="C26" s="170" t="s">
        <v>172</v>
      </c>
      <c r="D26" s="442" t="s">
        <v>406</v>
      </c>
      <c r="E26" s="89"/>
      <c r="F26" s="89"/>
      <c r="G26" s="178">
        <v>36156000</v>
      </c>
      <c r="H26" s="178"/>
      <c r="I26" s="178"/>
      <c r="J26" s="178">
        <v>2397440</v>
      </c>
      <c r="K26" s="178"/>
      <c r="L26" s="178"/>
      <c r="M26" s="179">
        <v>1717000</v>
      </c>
      <c r="N26" s="178">
        <v>680440</v>
      </c>
      <c r="O26" s="178"/>
      <c r="P26" s="110"/>
      <c r="Q26" s="111">
        <v>39.629586488060568</v>
      </c>
      <c r="R26" s="109"/>
      <c r="S26" s="109"/>
      <c r="T26" s="178">
        <v>35142071</v>
      </c>
      <c r="U26" s="178"/>
      <c r="V26" s="179"/>
      <c r="W26" s="178">
        <v>35933000</v>
      </c>
      <c r="X26" s="178"/>
      <c r="Y26" s="178"/>
      <c r="Z26" s="178"/>
      <c r="AA26" s="178">
        <v>-790929</v>
      </c>
      <c r="AB26" s="109"/>
      <c r="AC26" s="111"/>
      <c r="AD26" s="111">
        <v>-2.2011215317396262</v>
      </c>
      <c r="AF26" s="85">
        <v>13</v>
      </c>
      <c r="AG26" s="215" t="str">
        <f t="shared" si="0"/>
        <v/>
      </c>
    </row>
    <row r="27" spans="3:33" ht="15">
      <c r="C27" s="174" t="s">
        <v>23</v>
      </c>
      <c r="D27" s="442" t="s">
        <v>407</v>
      </c>
      <c r="E27" s="170"/>
      <c r="F27" s="89"/>
      <c r="G27" s="178">
        <v>36156000</v>
      </c>
      <c r="H27" s="178"/>
      <c r="I27" s="178"/>
      <c r="J27" s="178">
        <v>2397440</v>
      </c>
      <c r="K27" s="178"/>
      <c r="L27" s="178"/>
      <c r="M27" s="179">
        <v>1717000</v>
      </c>
      <c r="N27" s="178">
        <v>680440</v>
      </c>
      <c r="O27" s="178"/>
      <c r="P27" s="110"/>
      <c r="Q27" s="111">
        <v>39.629586488060568</v>
      </c>
      <c r="R27" s="109"/>
      <c r="S27" s="109"/>
      <c r="T27" s="178">
        <v>35142071</v>
      </c>
      <c r="U27" s="178"/>
      <c r="V27" s="179"/>
      <c r="W27" s="178">
        <v>35933000</v>
      </c>
      <c r="X27" s="178"/>
      <c r="Y27" s="178"/>
      <c r="Z27" s="178"/>
      <c r="AA27" s="178">
        <v>-790929</v>
      </c>
      <c r="AB27" s="109"/>
      <c r="AC27" s="111"/>
      <c r="AD27" s="111">
        <v>-2.2011215317396262</v>
      </c>
      <c r="AF27" s="85">
        <v>14</v>
      </c>
      <c r="AG27" s="215" t="str">
        <f t="shared" si="0"/>
        <v/>
      </c>
    </row>
    <row r="28" spans="3:33" ht="15">
      <c r="C28" s="175" t="s">
        <v>24</v>
      </c>
      <c r="D28" s="442" t="s">
        <v>408</v>
      </c>
      <c r="E28" s="89"/>
      <c r="F28" s="89"/>
      <c r="G28" s="178">
        <v>36156000</v>
      </c>
      <c r="H28" s="178"/>
      <c r="I28" s="178"/>
      <c r="J28" s="178">
        <v>2397440</v>
      </c>
      <c r="K28" s="178"/>
      <c r="L28" s="178"/>
      <c r="M28" s="179">
        <v>1717000</v>
      </c>
      <c r="N28" s="178">
        <v>680440</v>
      </c>
      <c r="O28" s="178"/>
      <c r="P28" s="110"/>
      <c r="Q28" s="111">
        <v>39.629586488060568</v>
      </c>
      <c r="R28" s="109"/>
      <c r="S28" s="109"/>
      <c r="T28" s="178">
        <v>35142071</v>
      </c>
      <c r="U28" s="178"/>
      <c r="V28" s="179"/>
      <c r="W28" s="178">
        <v>35933000</v>
      </c>
      <c r="X28" s="178"/>
      <c r="Y28" s="178"/>
      <c r="Z28" s="178"/>
      <c r="AA28" s="178">
        <v>-790929</v>
      </c>
      <c r="AB28" s="109"/>
      <c r="AC28" s="111"/>
      <c r="AD28" s="111">
        <v>-2.2011215317396262</v>
      </c>
      <c r="AF28" s="85">
        <v>15</v>
      </c>
      <c r="AG28" s="215" t="str">
        <f t="shared" si="0"/>
        <v/>
      </c>
    </row>
    <row r="29" spans="3:33" ht="15">
      <c r="C29" s="170" t="s">
        <v>171</v>
      </c>
      <c r="D29" s="442" t="s">
        <v>409</v>
      </c>
      <c r="E29" s="89"/>
      <c r="F29" s="89"/>
      <c r="G29" s="178">
        <v>-435000</v>
      </c>
      <c r="H29" s="178"/>
      <c r="I29" s="178"/>
      <c r="J29" s="178">
        <v>-530440</v>
      </c>
      <c r="K29" s="179"/>
      <c r="L29" s="179"/>
      <c r="M29" s="179"/>
      <c r="N29" s="179">
        <v>-530440</v>
      </c>
      <c r="O29" s="179"/>
      <c r="P29" s="109"/>
      <c r="Q29" s="111"/>
      <c r="R29" s="109"/>
      <c r="S29" s="109"/>
      <c r="T29" s="178">
        <v>532037</v>
      </c>
      <c r="U29" s="178"/>
      <c r="V29" s="179"/>
      <c r="W29" s="178">
        <v>-435000</v>
      </c>
      <c r="X29" s="178"/>
      <c r="Y29" s="178"/>
      <c r="Z29" s="178"/>
      <c r="AA29" s="178">
        <v>967037</v>
      </c>
      <c r="AB29" s="109"/>
      <c r="AC29" s="111"/>
      <c r="AD29" s="111">
        <v>-222.30735632183911</v>
      </c>
      <c r="AF29" s="85">
        <v>18</v>
      </c>
      <c r="AG29" s="215" t="str">
        <f t="shared" si="0"/>
        <v/>
      </c>
    </row>
    <row r="30" spans="3:33" ht="15">
      <c r="C30" s="170" t="s">
        <v>26</v>
      </c>
      <c r="D30" s="442" t="s">
        <v>410</v>
      </c>
      <c r="E30" s="89"/>
      <c r="F30" s="89"/>
      <c r="G30" s="178">
        <v>748021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2475762</v>
      </c>
      <c r="U30" s="178"/>
      <c r="V30" s="179"/>
      <c r="W30" s="178">
        <v>748021</v>
      </c>
      <c r="X30" s="178"/>
      <c r="Y30" s="178"/>
      <c r="Z30" s="178"/>
      <c r="AA30" s="178">
        <v>1727741</v>
      </c>
      <c r="AB30" s="109"/>
      <c r="AC30" s="111"/>
      <c r="AD30" s="111">
        <v>230.97493252194792</v>
      </c>
      <c r="AG30" s="215" t="str">
        <f t="shared" si="0"/>
        <v/>
      </c>
    </row>
    <row r="31" spans="3:33" ht="15">
      <c r="C31" s="88" t="s">
        <v>27</v>
      </c>
      <c r="D31" s="442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>
      <c r="C32" s="88" t="s">
        <v>28</v>
      </c>
      <c r="D32" s="442" t="s">
        <v>411</v>
      </c>
      <c r="E32" s="89"/>
      <c r="F32" s="89"/>
      <c r="G32" s="178">
        <v>313021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3007799</v>
      </c>
      <c r="U32" s="178"/>
      <c r="V32" s="179"/>
      <c r="W32" s="178">
        <v>313021</v>
      </c>
      <c r="X32" s="178"/>
      <c r="Y32" s="178"/>
      <c r="Z32" s="178"/>
      <c r="AA32" s="178">
        <v>2694778</v>
      </c>
      <c r="AB32" s="109"/>
      <c r="AC32" s="111"/>
      <c r="AD32" s="111">
        <v>860.89367805993834</v>
      </c>
      <c r="AG32" s="215" t="str">
        <f t="shared" si="0"/>
        <v/>
      </c>
    </row>
    <row r="33" spans="2:33" ht="15" hidden="1" customHeight="1">
      <c r="C33" s="88"/>
      <c r="D33" s="443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3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3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3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3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3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3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3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3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3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>
      <c r="C43" s="88"/>
      <c r="D43" s="443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88"/>
      <c r="D44" s="443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>
      <c r="C45" s="172"/>
      <c r="D45" s="444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/>
    <row r="47" spans="2:33" ht="12" customHeight="1">
      <c r="B47" s="171"/>
    </row>
    <row r="48" spans="2:33" ht="43.5" customHeight="1"/>
  </sheetData>
  <sortState ref="A16:AM49">
    <sortCondition ref="AF16:AF49"/>
  </sortState>
  <mergeCells count="24"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9"/>
  <sheetViews>
    <sheetView showGridLines="0" showZeros="0" showOutlineSymbols="0" view="pageBreakPreview" topLeftCell="A2" zoomScaleSheetLayoutView="100" workbookViewId="0">
      <selection activeCell="G16" sqref="G16:AD32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12.77734375" bestFit="1" customWidth="1"/>
    <col min="21" max="21" width="12.21875" hidden="1" customWidth="1"/>
    <col min="22" max="22" width="9" customWidth="1"/>
  </cols>
  <sheetData>
    <row r="1" spans="1:22" ht="15" hidden="1" customHeight="1"/>
    <row r="2" spans="1:22" ht="22.2">
      <c r="A2" s="600" t="str">
        <f>封面!$A$4</f>
        <v>彰化縣地方教育發展基金－彰化縣秀水鄉馬興國民小學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600"/>
      <c r="S2" s="600"/>
      <c r="T2" s="600"/>
      <c r="U2" s="600"/>
      <c r="V2" s="600"/>
    </row>
    <row r="3" spans="1:22" ht="22.2">
      <c r="A3" s="602" t="s">
        <v>0</v>
      </c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  <c r="Q3" s="602"/>
      <c r="R3" s="602"/>
      <c r="S3" s="602"/>
      <c r="T3" s="602"/>
      <c r="U3" s="602"/>
      <c r="V3" s="602"/>
    </row>
    <row r="4" spans="1:22" ht="19.8">
      <c r="A4" s="603" t="str">
        <f>封面!$E$10&amp;封面!$H$10&amp;封面!$I$10&amp;封面!$J$10&amp;封面!$K$10&amp;封面!$O$10&amp;"日"</f>
        <v>中華民國110年11月30日</v>
      </c>
      <c r="B4" s="603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  <c r="P4" s="603"/>
      <c r="Q4" s="603"/>
      <c r="R4" s="603"/>
      <c r="S4" s="603"/>
      <c r="T4" s="603"/>
      <c r="U4" s="603"/>
      <c r="V4" s="603"/>
    </row>
    <row r="5" spans="1:22" ht="2.25" customHeight="1"/>
    <row r="6" spans="1:22" ht="15.75" customHeight="1">
      <c r="A6" s="601" t="s">
        <v>1</v>
      </c>
      <c r="B6" s="601"/>
      <c r="C6" s="601"/>
      <c r="D6" s="601"/>
      <c r="E6" s="601"/>
      <c r="F6" s="601"/>
      <c r="G6" s="601"/>
      <c r="H6" s="601"/>
      <c r="I6" s="601"/>
      <c r="J6" s="601"/>
      <c r="K6" s="601"/>
      <c r="L6" s="601"/>
      <c r="M6" s="601"/>
      <c r="N6" s="601"/>
      <c r="O6" s="601"/>
      <c r="P6" s="601"/>
      <c r="Q6" s="601"/>
      <c r="R6" s="601"/>
      <c r="S6" s="601"/>
      <c r="T6" s="601"/>
      <c r="U6" s="601"/>
      <c r="V6" s="601"/>
    </row>
    <row r="7" spans="1:22" ht="2.25" customHeight="1">
      <c r="A7" s="2"/>
      <c r="B7" s="2"/>
      <c r="C7" s="2"/>
      <c r="D7" s="2"/>
      <c r="E7" s="2"/>
      <c r="F7" s="2"/>
      <c r="G7" s="347"/>
      <c r="K7" s="2"/>
      <c r="L7" s="2"/>
      <c r="M7" s="2"/>
      <c r="N7" s="2"/>
      <c r="O7" s="2"/>
      <c r="P7" s="2"/>
      <c r="Q7" s="2"/>
      <c r="R7" s="347"/>
      <c r="S7" s="347"/>
      <c r="T7" s="347"/>
    </row>
    <row r="8" spans="1:22" ht="4.5" hidden="1" customHeight="1">
      <c r="A8" s="604" t="s">
        <v>2</v>
      </c>
      <c r="B8" s="604"/>
      <c r="C8" s="604"/>
      <c r="D8" s="604"/>
      <c r="E8" s="604"/>
      <c r="F8" s="604"/>
      <c r="G8" s="337"/>
      <c r="H8" s="1"/>
      <c r="I8" s="1"/>
      <c r="J8" s="462"/>
      <c r="K8" s="605" t="s">
        <v>3</v>
      </c>
      <c r="L8" s="605"/>
      <c r="M8" s="605"/>
      <c r="N8" s="605"/>
      <c r="O8" s="605"/>
      <c r="P8" s="605"/>
      <c r="Q8" s="606"/>
      <c r="R8" s="337"/>
      <c r="S8" s="337"/>
      <c r="T8" s="337"/>
      <c r="U8" s="1"/>
      <c r="V8" s="1"/>
    </row>
    <row r="9" spans="1:22" ht="18" customHeight="1">
      <c r="A9" s="604"/>
      <c r="B9" s="604"/>
      <c r="C9" s="604"/>
      <c r="D9" s="604"/>
      <c r="E9" s="604"/>
      <c r="F9" s="604"/>
      <c r="G9" s="337"/>
      <c r="H9" s="604" t="s">
        <v>4</v>
      </c>
      <c r="I9" s="604" t="s">
        <v>5</v>
      </c>
      <c r="J9" s="462"/>
      <c r="K9" s="605"/>
      <c r="L9" s="605"/>
      <c r="M9" s="605"/>
      <c r="N9" s="605"/>
      <c r="O9" s="605"/>
      <c r="P9" s="605"/>
      <c r="Q9" s="606"/>
      <c r="R9" s="337"/>
      <c r="S9" s="337"/>
      <c r="T9" s="609" t="s">
        <v>4</v>
      </c>
      <c r="U9" s="610"/>
      <c r="V9" s="604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04"/>
      <c r="I10" s="604"/>
      <c r="J10" s="1"/>
      <c r="K10" s="1"/>
      <c r="L10" s="1"/>
      <c r="M10" s="1"/>
      <c r="N10" s="1"/>
      <c r="O10" s="1"/>
      <c r="P10" s="1"/>
      <c r="Q10" s="1"/>
      <c r="R10" s="1"/>
      <c r="S10" s="1"/>
      <c r="T10" s="611"/>
      <c r="U10" s="611"/>
      <c r="V10" s="604"/>
    </row>
    <row r="11" spans="1:22" ht="18" customHeight="1">
      <c r="A11" s="604" t="s">
        <v>6</v>
      </c>
      <c r="B11" s="604"/>
      <c r="C11" s="604"/>
      <c r="D11" s="604"/>
      <c r="E11" s="604"/>
      <c r="F11" s="604" t="s">
        <v>7</v>
      </c>
      <c r="G11" s="337"/>
      <c r="H11" s="604"/>
      <c r="I11" s="604"/>
      <c r="J11" s="462"/>
      <c r="K11" s="605" t="s">
        <v>6</v>
      </c>
      <c r="L11" s="605"/>
      <c r="M11" s="605"/>
      <c r="N11" s="605"/>
      <c r="O11" s="606"/>
      <c r="P11" s="337"/>
      <c r="Q11" s="604" t="s">
        <v>7</v>
      </c>
      <c r="R11" s="337"/>
      <c r="S11" s="337"/>
      <c r="T11" s="612"/>
      <c r="U11" s="612"/>
      <c r="V11" s="604"/>
    </row>
    <row r="12" spans="1:22" ht="13.8" hidden="1">
      <c r="A12" s="604"/>
      <c r="B12" s="604"/>
      <c r="C12" s="604"/>
      <c r="D12" s="604"/>
      <c r="E12" s="604"/>
      <c r="F12" s="604"/>
      <c r="G12" s="337"/>
      <c r="H12" s="1"/>
      <c r="I12" s="1"/>
      <c r="J12" s="462"/>
      <c r="K12" s="605"/>
      <c r="L12" s="605"/>
      <c r="M12" s="605"/>
      <c r="N12" s="605"/>
      <c r="O12" s="606"/>
      <c r="P12" s="337"/>
      <c r="Q12" s="604"/>
      <c r="R12" s="337"/>
      <c r="S12" s="337"/>
      <c r="T12" s="337"/>
      <c r="U12" s="1"/>
      <c r="V12" s="1"/>
    </row>
    <row r="13" spans="1:22" ht="14.25" customHeight="1">
      <c r="A13" s="123" t="s">
        <v>465</v>
      </c>
      <c r="B13" s="124"/>
      <c r="C13" s="400"/>
      <c r="D13" s="400"/>
      <c r="E13" s="401"/>
      <c r="F13" s="126" t="s">
        <v>466</v>
      </c>
      <c r="G13" s="126"/>
      <c r="H13" s="127">
        <v>75063264</v>
      </c>
      <c r="I13" s="333">
        <v>100</v>
      </c>
      <c r="J13" s="463"/>
      <c r="K13" s="124" t="s">
        <v>509</v>
      </c>
      <c r="L13" s="124"/>
      <c r="M13" s="124"/>
      <c r="N13" s="124"/>
      <c r="O13" s="125"/>
      <c r="P13" s="125"/>
      <c r="Q13" s="128" t="s">
        <v>519</v>
      </c>
      <c r="R13" s="126"/>
      <c r="S13" s="126"/>
      <c r="T13" s="547">
        <v>32200930</v>
      </c>
      <c r="U13" s="547">
        <v>32200930</v>
      </c>
      <c r="V13" s="507">
        <v>42.898387685352994</v>
      </c>
    </row>
    <row r="14" spans="1:22" ht="14.25" customHeight="1">
      <c r="A14" s="346"/>
      <c r="B14" s="130" t="s">
        <v>467</v>
      </c>
      <c r="C14" s="382"/>
      <c r="D14" s="382"/>
      <c r="E14" s="383"/>
      <c r="F14" s="136" t="s">
        <v>468</v>
      </c>
      <c r="G14" s="136"/>
      <c r="H14" s="133">
        <v>35208729</v>
      </c>
      <c r="I14" s="334">
        <v>46.905406351634277</v>
      </c>
      <c r="J14" s="140"/>
      <c r="K14" s="130"/>
      <c r="L14" s="130" t="s">
        <v>510</v>
      </c>
      <c r="M14" s="130"/>
      <c r="N14" s="130"/>
      <c r="O14" s="131"/>
      <c r="P14" s="131"/>
      <c r="Q14" s="134" t="s">
        <v>520</v>
      </c>
      <c r="R14" s="136"/>
      <c r="S14" s="136"/>
      <c r="T14" s="549">
        <v>26929315</v>
      </c>
      <c r="U14" s="549">
        <v>26929315</v>
      </c>
      <c r="V14" s="508">
        <v>35.875491638626322</v>
      </c>
    </row>
    <row r="15" spans="1:22" ht="14.25" customHeight="1">
      <c r="A15" s="346"/>
      <c r="B15" s="130"/>
      <c r="C15" s="382" t="s">
        <v>469</v>
      </c>
      <c r="D15" s="382"/>
      <c r="E15" s="383"/>
      <c r="F15" s="136" t="s">
        <v>470</v>
      </c>
      <c r="G15" s="136"/>
      <c r="H15" s="133">
        <v>35200703</v>
      </c>
      <c r="I15" s="334">
        <v>46.894714037481769</v>
      </c>
      <c r="J15" s="140"/>
      <c r="K15" s="130"/>
      <c r="L15" s="130"/>
      <c r="M15" s="130" t="s">
        <v>511</v>
      </c>
      <c r="N15" s="130"/>
      <c r="O15" s="131"/>
      <c r="P15" s="131"/>
      <c r="Q15" s="134" t="s">
        <v>521</v>
      </c>
      <c r="R15" s="136"/>
      <c r="S15" s="136"/>
      <c r="T15" s="549">
        <v>26929315</v>
      </c>
      <c r="U15" s="549">
        <v>26929315</v>
      </c>
      <c r="V15" s="508">
        <v>35.875491638626322</v>
      </c>
    </row>
    <row r="16" spans="1:22" ht="14.25" customHeight="1">
      <c r="A16" s="346"/>
      <c r="B16" s="130"/>
      <c r="C16" s="382"/>
      <c r="D16" s="382" t="s">
        <v>471</v>
      </c>
      <c r="E16" s="383"/>
      <c r="F16" s="136" t="s">
        <v>472</v>
      </c>
      <c r="G16" s="136"/>
      <c r="H16" s="133">
        <v>35160703</v>
      </c>
      <c r="I16" s="334">
        <v>46.8414256539657</v>
      </c>
      <c r="J16" s="140"/>
      <c r="K16" s="130"/>
      <c r="L16" s="130"/>
      <c r="M16" s="130"/>
      <c r="N16" s="130" t="s">
        <v>512</v>
      </c>
      <c r="O16" s="131"/>
      <c r="P16" s="131"/>
      <c r="Q16" s="134" t="s">
        <v>522</v>
      </c>
      <c r="R16" s="136"/>
      <c r="S16" s="136"/>
      <c r="T16" s="549">
        <v>26929315</v>
      </c>
      <c r="U16" s="549">
        <v>26929315</v>
      </c>
      <c r="V16" s="508">
        <v>35.875491638626322</v>
      </c>
    </row>
    <row r="17" spans="1:22" ht="14.25" customHeight="1">
      <c r="A17" s="346"/>
      <c r="B17" s="130"/>
      <c r="C17" s="382"/>
      <c r="D17" s="382"/>
      <c r="E17" s="383" t="s">
        <v>473</v>
      </c>
      <c r="F17" s="136" t="s">
        <v>474</v>
      </c>
      <c r="G17" s="136"/>
      <c r="H17" s="133">
        <v>2967799</v>
      </c>
      <c r="I17" s="334">
        <v>3.953730282765215</v>
      </c>
      <c r="J17" s="140"/>
      <c r="K17" s="130"/>
      <c r="L17" s="130" t="s">
        <v>513</v>
      </c>
      <c r="M17" s="130"/>
      <c r="N17" s="130"/>
      <c r="O17" s="131"/>
      <c r="P17" s="131"/>
      <c r="Q17" s="134" t="s">
        <v>523</v>
      </c>
      <c r="R17" s="136"/>
      <c r="S17" s="136"/>
      <c r="T17" s="549">
        <v>5271615</v>
      </c>
      <c r="U17" s="549">
        <v>5271615</v>
      </c>
      <c r="V17" s="508">
        <v>7.0228960467266663</v>
      </c>
    </row>
    <row r="18" spans="1:22" ht="14.25" customHeight="1">
      <c r="A18" s="346"/>
      <c r="B18" s="130"/>
      <c r="C18" s="382"/>
      <c r="D18" s="382"/>
      <c r="E18" s="383" t="s">
        <v>475</v>
      </c>
      <c r="F18" s="136" t="s">
        <v>476</v>
      </c>
      <c r="G18" s="136"/>
      <c r="H18" s="133">
        <v>32192904</v>
      </c>
      <c r="I18" s="334">
        <v>42.887695371200486</v>
      </c>
      <c r="J18" s="140"/>
      <c r="K18" s="130"/>
      <c r="L18" s="130"/>
      <c r="M18" s="130" t="s">
        <v>514</v>
      </c>
      <c r="N18" s="130"/>
      <c r="O18" s="131"/>
      <c r="P18" s="131"/>
      <c r="Q18" s="134" t="s">
        <v>524</v>
      </c>
      <c r="R18" s="136"/>
      <c r="S18" s="136"/>
      <c r="T18" s="549">
        <v>5271615</v>
      </c>
      <c r="U18" s="549">
        <v>5271615</v>
      </c>
      <c r="V18" s="508">
        <v>7.0228960467266663</v>
      </c>
    </row>
    <row r="19" spans="1:22" ht="14.25" customHeight="1">
      <c r="A19" s="346"/>
      <c r="B19" s="130"/>
      <c r="C19" s="382"/>
      <c r="D19" s="382" t="s">
        <v>477</v>
      </c>
      <c r="E19" s="383"/>
      <c r="F19" s="136" t="s">
        <v>478</v>
      </c>
      <c r="G19" s="136"/>
      <c r="H19" s="133">
        <v>40000</v>
      </c>
      <c r="I19" s="334">
        <v>5.3288383516069862E-2</v>
      </c>
      <c r="J19" s="140"/>
      <c r="K19" s="130"/>
      <c r="L19" s="130"/>
      <c r="M19" s="130"/>
      <c r="N19" s="130" t="s">
        <v>515</v>
      </c>
      <c r="O19" s="131"/>
      <c r="P19" s="131"/>
      <c r="Q19" s="134" t="s">
        <v>525</v>
      </c>
      <c r="R19" s="136"/>
      <c r="S19" s="136"/>
      <c r="T19" s="549">
        <v>5271615</v>
      </c>
      <c r="U19" s="549">
        <v>5271615</v>
      </c>
      <c r="V19" s="508">
        <v>7.0228960467266663</v>
      </c>
    </row>
    <row r="20" spans="1:22" ht="14.25" customHeight="1">
      <c r="A20" s="346"/>
      <c r="B20" s="130"/>
      <c r="C20" s="382" t="s">
        <v>479</v>
      </c>
      <c r="D20" s="382"/>
      <c r="E20" s="383"/>
      <c r="F20" s="136" t="s">
        <v>480</v>
      </c>
      <c r="G20" s="136"/>
      <c r="H20" s="133">
        <v>8026</v>
      </c>
      <c r="I20" s="334">
        <v>1.0692314152499417E-2</v>
      </c>
      <c r="J20" s="140"/>
      <c r="K20" s="130" t="s">
        <v>516</v>
      </c>
      <c r="L20" s="130"/>
      <c r="M20" s="130"/>
      <c r="N20" s="130"/>
      <c r="O20" s="131"/>
      <c r="P20" s="131"/>
      <c r="Q20" s="134" t="s">
        <v>526</v>
      </c>
      <c r="R20" s="136"/>
      <c r="S20" s="136"/>
      <c r="T20" s="549">
        <v>42862334</v>
      </c>
      <c r="U20" s="549">
        <v>42862334</v>
      </c>
      <c r="V20" s="508">
        <v>57.101612314647021</v>
      </c>
    </row>
    <row r="21" spans="1:22" ht="14.25" hidden="1" customHeight="1">
      <c r="A21" s="346"/>
      <c r="B21" s="130"/>
      <c r="C21" s="382"/>
      <c r="D21" s="382"/>
      <c r="E21" s="383"/>
      <c r="F21" s="136"/>
      <c r="G21" s="136"/>
      <c r="H21" s="133"/>
      <c r="I21" s="334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549"/>
      <c r="U21" s="549"/>
      <c r="V21" s="508"/>
    </row>
    <row r="22" spans="1:22" ht="14.25" customHeight="1">
      <c r="A22" s="346"/>
      <c r="B22" s="130"/>
      <c r="C22" s="382"/>
      <c r="D22" s="382" t="s">
        <v>481</v>
      </c>
      <c r="E22" s="383"/>
      <c r="F22" s="136" t="s">
        <v>482</v>
      </c>
      <c r="G22" s="136"/>
      <c r="H22" s="133">
        <v>8026</v>
      </c>
      <c r="I22" s="334">
        <v>1.0692314152499417E-2</v>
      </c>
      <c r="J22" s="140"/>
      <c r="K22" s="130"/>
      <c r="L22" s="130" t="s">
        <v>516</v>
      </c>
      <c r="M22" s="130"/>
      <c r="N22" s="130"/>
      <c r="O22" s="131"/>
      <c r="P22" s="131"/>
      <c r="Q22" s="134" t="s">
        <v>527</v>
      </c>
      <c r="R22" s="136"/>
      <c r="S22" s="136"/>
      <c r="T22" s="549">
        <v>42862334</v>
      </c>
      <c r="U22" s="549">
        <v>42862334</v>
      </c>
      <c r="V22" s="508">
        <v>57.101612314647021</v>
      </c>
    </row>
    <row r="23" spans="1:22" ht="14.25" hidden="1" customHeight="1">
      <c r="A23" s="346"/>
      <c r="B23" s="130"/>
      <c r="C23" s="130"/>
      <c r="D23" s="130"/>
      <c r="E23" s="131"/>
      <c r="F23" s="136"/>
      <c r="G23" s="136"/>
      <c r="H23" s="133"/>
      <c r="I23" s="334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549"/>
      <c r="U23" s="549"/>
      <c r="V23" s="508"/>
    </row>
    <row r="24" spans="1:22" ht="14.25" customHeight="1">
      <c r="A24" s="346"/>
      <c r="B24" s="130" t="s">
        <v>483</v>
      </c>
      <c r="C24" s="130"/>
      <c r="D24" s="130"/>
      <c r="E24" s="131"/>
      <c r="F24" s="136" t="s">
        <v>484</v>
      </c>
      <c r="G24" s="136"/>
      <c r="H24" s="133">
        <v>39854535</v>
      </c>
      <c r="I24" s="334">
        <v>53.094593648365738</v>
      </c>
      <c r="J24" s="140"/>
      <c r="K24" s="130"/>
      <c r="L24" s="130"/>
      <c r="M24" s="130" t="s">
        <v>516</v>
      </c>
      <c r="N24" s="130"/>
      <c r="O24" s="131"/>
      <c r="P24" s="131"/>
      <c r="Q24" s="134" t="s">
        <v>528</v>
      </c>
      <c r="R24" s="136"/>
      <c r="S24" s="136"/>
      <c r="T24" s="549">
        <v>42862334</v>
      </c>
      <c r="U24" s="549">
        <v>42862334</v>
      </c>
      <c r="V24" s="508">
        <v>57.101612314647021</v>
      </c>
    </row>
    <row r="25" spans="1:22" ht="15" customHeight="1">
      <c r="A25" s="129"/>
      <c r="B25" s="130"/>
      <c r="C25" s="130" t="s">
        <v>46</v>
      </c>
      <c r="D25" s="130"/>
      <c r="E25" s="131"/>
      <c r="F25" s="132" t="s">
        <v>485</v>
      </c>
      <c r="G25" s="132"/>
      <c r="H25" s="133">
        <v>11027358</v>
      </c>
      <c r="I25" s="334">
        <v>14.690752056825026</v>
      </c>
      <c r="J25" s="140"/>
      <c r="K25" s="135"/>
      <c r="L25" s="130"/>
      <c r="M25" s="130"/>
      <c r="N25" s="130" t="s">
        <v>517</v>
      </c>
      <c r="O25" s="131"/>
      <c r="P25" s="131"/>
      <c r="Q25" s="134" t="s">
        <v>529</v>
      </c>
      <c r="R25" s="136"/>
      <c r="S25" s="136"/>
      <c r="T25" s="549">
        <v>37061840</v>
      </c>
      <c r="U25" s="549">
        <v>37061840</v>
      </c>
      <c r="V25" s="508">
        <v>49.374138593280456</v>
      </c>
    </row>
    <row r="26" spans="1:22" ht="15" hidden="1" customHeight="1">
      <c r="A26" s="129"/>
      <c r="B26" s="130"/>
      <c r="C26" s="130"/>
      <c r="D26" s="130"/>
      <c r="E26" s="131"/>
      <c r="F26" s="132"/>
      <c r="G26" s="132"/>
      <c r="H26" s="133"/>
      <c r="I26" s="334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549"/>
      <c r="U26" s="549"/>
      <c r="V26" s="508"/>
    </row>
    <row r="27" spans="1:22" ht="15" customHeight="1">
      <c r="A27" s="129"/>
      <c r="B27" s="130"/>
      <c r="C27" s="130"/>
      <c r="D27" s="130" t="s">
        <v>46</v>
      </c>
      <c r="E27" s="131"/>
      <c r="F27" s="132" t="s">
        <v>486</v>
      </c>
      <c r="G27" s="132"/>
      <c r="H27" s="133">
        <v>11027358</v>
      </c>
      <c r="I27" s="334">
        <v>14.690752056825026</v>
      </c>
      <c r="J27" s="140"/>
      <c r="K27" s="135"/>
      <c r="L27" s="130"/>
      <c r="M27" s="130"/>
      <c r="N27" s="130" t="s">
        <v>518</v>
      </c>
      <c r="O27" s="131"/>
      <c r="P27" s="131"/>
      <c r="Q27" s="134" t="s">
        <v>530</v>
      </c>
      <c r="R27" s="136"/>
      <c r="S27" s="136"/>
      <c r="T27" s="549">
        <v>5800494</v>
      </c>
      <c r="U27" s="549">
        <v>5800494</v>
      </c>
      <c r="V27" s="508">
        <v>7.7274737213665539</v>
      </c>
    </row>
    <row r="28" spans="1:22" ht="15" customHeight="1">
      <c r="A28" s="129"/>
      <c r="B28" s="130"/>
      <c r="C28" s="130" t="s">
        <v>47</v>
      </c>
      <c r="D28" s="130"/>
      <c r="E28" s="131"/>
      <c r="F28" s="132" t="s">
        <v>487</v>
      </c>
      <c r="G28" s="132"/>
      <c r="H28" s="133">
        <v>3171651</v>
      </c>
      <c r="I28" s="334">
        <v>4.2253038716781619</v>
      </c>
      <c r="J28" s="140"/>
      <c r="K28" s="135" t="s">
        <v>508</v>
      </c>
      <c r="L28" s="130"/>
      <c r="M28" s="130"/>
      <c r="N28" s="130"/>
      <c r="O28" s="131"/>
      <c r="P28" s="131"/>
      <c r="Q28" s="134"/>
      <c r="R28" s="136"/>
      <c r="S28" s="136"/>
      <c r="T28" s="549">
        <v>75063264</v>
      </c>
      <c r="U28" s="549">
        <v>75063264</v>
      </c>
      <c r="V28" s="508"/>
    </row>
    <row r="29" spans="1:22" ht="15" customHeight="1">
      <c r="A29" s="129"/>
      <c r="B29" s="130"/>
      <c r="C29" s="130"/>
      <c r="D29" s="130" t="s">
        <v>47</v>
      </c>
      <c r="E29" s="131"/>
      <c r="F29" s="132" t="s">
        <v>488</v>
      </c>
      <c r="G29" s="132"/>
      <c r="H29" s="133">
        <v>5526838</v>
      </c>
      <c r="I29" s="334">
        <v>7.3629065743797124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07"/>
      <c r="U29" s="608"/>
      <c r="V29" s="508"/>
    </row>
    <row r="30" spans="1:22" ht="15" customHeight="1">
      <c r="A30" s="129"/>
      <c r="B30" s="130"/>
      <c r="C30" s="130"/>
      <c r="D30" s="130" t="s">
        <v>489</v>
      </c>
      <c r="E30" s="131"/>
      <c r="F30" s="132" t="s">
        <v>490</v>
      </c>
      <c r="G30" s="132"/>
      <c r="H30" s="133">
        <v>-2355187</v>
      </c>
      <c r="I30" s="334">
        <v>-3.1376027027015505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07"/>
      <c r="U30" s="608"/>
      <c r="V30" s="508"/>
    </row>
    <row r="31" spans="1:22" ht="15" customHeight="1">
      <c r="A31" s="129"/>
      <c r="B31" s="130"/>
      <c r="C31" s="130" t="s">
        <v>491</v>
      </c>
      <c r="D31" s="130"/>
      <c r="E31" s="131"/>
      <c r="F31" s="132" t="s">
        <v>492</v>
      </c>
      <c r="G31" s="132"/>
      <c r="H31" s="133">
        <v>23334226</v>
      </c>
      <c r="I31" s="334">
        <v>31.086079603466217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607"/>
      <c r="U31" s="608"/>
      <c r="V31" s="508"/>
    </row>
    <row r="32" spans="1:22" ht="15" hidden="1" customHeight="1">
      <c r="A32" s="129"/>
      <c r="B32" s="130"/>
      <c r="C32" s="130"/>
      <c r="D32" s="130"/>
      <c r="E32" s="131"/>
      <c r="F32" s="132"/>
      <c r="G32" s="132"/>
      <c r="H32" s="133"/>
      <c r="I32" s="334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07"/>
      <c r="U32" s="608"/>
      <c r="V32" s="508"/>
    </row>
    <row r="33" spans="1:22" ht="15" customHeight="1">
      <c r="A33" s="129"/>
      <c r="B33" s="130"/>
      <c r="C33" s="130"/>
      <c r="D33" s="130" t="s">
        <v>491</v>
      </c>
      <c r="E33" s="131"/>
      <c r="F33" s="132" t="s">
        <v>493</v>
      </c>
      <c r="G33" s="132"/>
      <c r="H33" s="133">
        <v>47289712</v>
      </c>
      <c r="I33" s="334">
        <v>62.999807735512277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607"/>
      <c r="U33" s="608"/>
      <c r="V33" s="508"/>
    </row>
    <row r="34" spans="1:22" ht="15" customHeight="1">
      <c r="A34" s="129"/>
      <c r="B34" s="130"/>
      <c r="C34" s="130"/>
      <c r="D34" s="130" t="s">
        <v>494</v>
      </c>
      <c r="E34" s="131"/>
      <c r="F34" s="132" t="s">
        <v>495</v>
      </c>
      <c r="G34" s="132"/>
      <c r="H34" s="133">
        <v>-23955486</v>
      </c>
      <c r="I34" s="334">
        <v>-31.913728132046053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607"/>
      <c r="U34" s="608"/>
      <c r="V34" s="508"/>
    </row>
    <row r="35" spans="1:22" ht="15" hidden="1" customHeight="1">
      <c r="A35" s="129"/>
      <c r="B35" s="130"/>
      <c r="C35" s="130"/>
      <c r="D35" s="130"/>
      <c r="E35" s="131"/>
      <c r="F35" s="132"/>
      <c r="G35" s="132"/>
      <c r="H35" s="133"/>
      <c r="I35" s="334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607"/>
      <c r="U35" s="608"/>
      <c r="V35" s="508"/>
    </row>
    <row r="36" spans="1:22" ht="14.25" customHeight="1">
      <c r="A36" s="129"/>
      <c r="B36" s="135"/>
      <c r="C36" s="130" t="s">
        <v>49</v>
      </c>
      <c r="D36" s="130"/>
      <c r="E36" s="131"/>
      <c r="F36" s="136" t="s">
        <v>496</v>
      </c>
      <c r="G36" s="136"/>
      <c r="H36" s="133">
        <v>1073088</v>
      </c>
      <c r="I36" s="334">
        <v>1.4295781222623094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607"/>
      <c r="U36" s="608"/>
      <c r="V36" s="508"/>
    </row>
    <row r="37" spans="1:22" ht="14.25" customHeight="1">
      <c r="A37" s="129"/>
      <c r="B37" s="135"/>
      <c r="C37" s="135"/>
      <c r="D37" s="135" t="s">
        <v>49</v>
      </c>
      <c r="E37" s="131"/>
      <c r="F37" s="136" t="s">
        <v>497</v>
      </c>
      <c r="G37" s="136"/>
      <c r="H37" s="133">
        <v>4905720</v>
      </c>
      <c r="I37" s="334">
        <v>6.5354472195613553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607"/>
      <c r="U37" s="608"/>
      <c r="V37" s="508"/>
    </row>
    <row r="38" spans="1:22" ht="14.25" customHeight="1">
      <c r="A38" s="129"/>
      <c r="B38" s="135"/>
      <c r="C38" s="135"/>
      <c r="D38" s="135" t="s">
        <v>498</v>
      </c>
      <c r="E38" s="131"/>
      <c r="F38" s="136" t="s">
        <v>499</v>
      </c>
      <c r="G38" s="136"/>
      <c r="H38" s="133">
        <v>-3832632</v>
      </c>
      <c r="I38" s="334">
        <v>-5.1058690972990464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607"/>
      <c r="U38" s="608"/>
      <c r="V38" s="508"/>
    </row>
    <row r="39" spans="1:22" ht="14.25" customHeight="1">
      <c r="A39" s="129"/>
      <c r="B39" s="135"/>
      <c r="C39" s="135" t="s">
        <v>50</v>
      </c>
      <c r="D39" s="130"/>
      <c r="E39" s="131"/>
      <c r="F39" s="136" t="s">
        <v>500</v>
      </c>
      <c r="G39" s="136"/>
      <c r="H39" s="133">
        <v>206720</v>
      </c>
      <c r="I39" s="334">
        <v>0.27539436601104905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07"/>
      <c r="U39" s="608"/>
      <c r="V39" s="508"/>
    </row>
    <row r="40" spans="1:22" ht="14.25" customHeight="1">
      <c r="A40" s="129"/>
      <c r="B40" s="135"/>
      <c r="C40" s="130"/>
      <c r="D40" s="130" t="s">
        <v>50</v>
      </c>
      <c r="E40" s="131"/>
      <c r="F40" s="136" t="s">
        <v>501</v>
      </c>
      <c r="G40" s="136"/>
      <c r="H40" s="133">
        <v>634500</v>
      </c>
      <c r="I40" s="334">
        <v>0.84528698352365805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607"/>
      <c r="U40" s="608"/>
      <c r="V40" s="508"/>
    </row>
    <row r="41" spans="1:22" s="347" customFormat="1" ht="14.25" customHeight="1">
      <c r="A41" s="129"/>
      <c r="B41" s="135"/>
      <c r="C41" s="135"/>
      <c r="D41" s="130" t="s">
        <v>502</v>
      </c>
      <c r="E41" s="131"/>
      <c r="F41" s="136" t="s">
        <v>503</v>
      </c>
      <c r="G41" s="136"/>
      <c r="H41" s="133">
        <v>-427780</v>
      </c>
      <c r="I41" s="334">
        <v>-0.56989261751260911</v>
      </c>
      <c r="J41" s="140"/>
      <c r="K41" s="137"/>
      <c r="L41" s="137"/>
      <c r="M41" s="137"/>
      <c r="N41" s="137"/>
      <c r="O41" s="138"/>
      <c r="P41" s="138"/>
      <c r="Q41" s="139"/>
      <c r="R41" s="348"/>
      <c r="S41" s="348"/>
      <c r="T41" s="607"/>
      <c r="U41" s="608"/>
      <c r="V41" s="508"/>
    </row>
    <row r="42" spans="1:22" s="347" customFormat="1" ht="15" hidden="1" customHeight="1">
      <c r="A42" s="129"/>
      <c r="B42" s="137"/>
      <c r="C42" s="137"/>
      <c r="D42" s="137"/>
      <c r="E42" s="138"/>
      <c r="F42" s="132"/>
      <c r="G42" s="132"/>
      <c r="H42" s="133"/>
      <c r="I42" s="334"/>
      <c r="J42" s="140"/>
      <c r="K42" s="135"/>
      <c r="L42" s="137"/>
      <c r="M42" s="137"/>
      <c r="N42" s="137"/>
      <c r="O42" s="138"/>
      <c r="P42" s="138"/>
      <c r="Q42" s="139"/>
      <c r="R42" s="348"/>
      <c r="S42" s="348"/>
      <c r="T42" s="607"/>
      <c r="U42" s="608"/>
      <c r="V42" s="508"/>
    </row>
    <row r="43" spans="1:22" ht="14.25" customHeight="1">
      <c r="A43" s="129"/>
      <c r="B43" s="137"/>
      <c r="C43" s="137" t="s">
        <v>205</v>
      </c>
      <c r="D43" s="137"/>
      <c r="E43" s="138"/>
      <c r="F43" s="140" t="s">
        <v>504</v>
      </c>
      <c r="G43" s="140"/>
      <c r="H43" s="141">
        <v>1041492</v>
      </c>
      <c r="I43" s="335">
        <v>1.3874856281229657</v>
      </c>
      <c r="J43" s="140"/>
      <c r="K43" s="135"/>
      <c r="L43" s="135"/>
      <c r="M43" s="137"/>
      <c r="N43" s="137"/>
      <c r="O43" s="138"/>
      <c r="P43" s="138"/>
      <c r="Q43" s="139"/>
      <c r="R43" s="348"/>
      <c r="S43" s="348"/>
      <c r="T43" s="607"/>
      <c r="U43" s="608"/>
      <c r="V43" s="508"/>
    </row>
    <row r="44" spans="1:22" ht="14.25" customHeight="1">
      <c r="A44" s="129"/>
      <c r="B44" s="135"/>
      <c r="C44" s="130"/>
      <c r="D44" s="130" t="s">
        <v>205</v>
      </c>
      <c r="E44" s="131"/>
      <c r="F44" s="136" t="s">
        <v>505</v>
      </c>
      <c r="G44" s="136"/>
      <c r="H44" s="133">
        <v>4372279</v>
      </c>
      <c r="I44" s="334">
        <v>5.8247920047814601</v>
      </c>
      <c r="J44" s="140"/>
      <c r="K44" s="135"/>
      <c r="L44" s="135"/>
      <c r="M44" s="135"/>
      <c r="N44" s="137"/>
      <c r="O44" s="138"/>
      <c r="P44" s="138"/>
      <c r="Q44" s="139"/>
      <c r="R44" s="348"/>
      <c r="S44" s="348"/>
      <c r="T44" s="607"/>
      <c r="U44" s="608"/>
      <c r="V44" s="508"/>
    </row>
    <row r="45" spans="1:22" ht="14.25" customHeight="1">
      <c r="A45" s="129"/>
      <c r="B45" s="137"/>
      <c r="C45" s="137"/>
      <c r="D45" s="137" t="s">
        <v>506</v>
      </c>
      <c r="E45" s="138"/>
      <c r="F45" s="132" t="s">
        <v>507</v>
      </c>
      <c r="G45" s="132"/>
      <c r="H45" s="133">
        <v>-3330787</v>
      </c>
      <c r="I45" s="334">
        <v>-4.4373063766584941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607"/>
      <c r="U45" s="608"/>
      <c r="V45" s="508"/>
    </row>
    <row r="46" spans="1:22" ht="14.25" customHeight="1">
      <c r="A46" s="129" t="s">
        <v>508</v>
      </c>
      <c r="B46" s="137"/>
      <c r="C46" s="137"/>
      <c r="D46" s="137"/>
      <c r="E46" s="138"/>
      <c r="F46" s="132"/>
      <c r="G46" s="132"/>
      <c r="H46" s="133">
        <v>75063264</v>
      </c>
      <c r="I46" s="335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607"/>
      <c r="U46" s="608"/>
      <c r="V46" s="508"/>
    </row>
    <row r="47" spans="1:22" ht="13.8">
      <c r="A47" s="142"/>
      <c r="B47" s="143"/>
      <c r="C47" s="143"/>
      <c r="D47" s="143"/>
      <c r="E47" s="144"/>
      <c r="F47" s="145"/>
      <c r="G47" s="145"/>
      <c r="H47" s="146"/>
      <c r="I47" s="336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613"/>
      <c r="U47" s="614"/>
      <c r="V47" s="509"/>
    </row>
    <row r="48" spans="1:22" ht="14.25" customHeight="1">
      <c r="A48" s="615" t="s">
        <v>338</v>
      </c>
      <c r="B48" s="615"/>
      <c r="C48" s="615"/>
      <c r="D48" s="615"/>
      <c r="E48" s="615"/>
      <c r="F48" s="615"/>
      <c r="G48" s="616">
        <v>0</v>
      </c>
      <c r="H48" s="616"/>
      <c r="L48" s="615" t="s">
        <v>339</v>
      </c>
      <c r="M48" s="615"/>
      <c r="N48" s="615"/>
      <c r="O48" s="615"/>
      <c r="P48" s="615"/>
      <c r="Q48" s="615"/>
      <c r="R48" s="615"/>
      <c r="S48" s="616">
        <v>0</v>
      </c>
      <c r="T48" s="616"/>
      <c r="U48" s="616"/>
    </row>
    <row r="49" spans="1:2" ht="13.8">
      <c r="A49" s="617" t="s">
        <v>8</v>
      </c>
      <c r="B49" s="617"/>
    </row>
  </sheetData>
  <mergeCells count="38">
    <mergeCell ref="A48:F48"/>
    <mergeCell ref="G48:H48"/>
    <mergeCell ref="L48:R48"/>
    <mergeCell ref="S48:U48"/>
    <mergeCell ref="A49:B49"/>
    <mergeCell ref="T37:U37"/>
    <mergeCell ref="T38:U38"/>
    <mergeCell ref="T39:U39"/>
    <mergeCell ref="T40:U40"/>
    <mergeCell ref="T32:U32"/>
    <mergeCell ref="T33:U33"/>
    <mergeCell ref="T34:U34"/>
    <mergeCell ref="T46:U46"/>
    <mergeCell ref="T47:U47"/>
    <mergeCell ref="T41:U41"/>
    <mergeCell ref="T42:U42"/>
    <mergeCell ref="T43:U43"/>
    <mergeCell ref="T44:U44"/>
    <mergeCell ref="T45:U45"/>
    <mergeCell ref="T35:U35"/>
    <mergeCell ref="T36:U36"/>
    <mergeCell ref="T29:U29"/>
    <mergeCell ref="T30:U30"/>
    <mergeCell ref="T31:U31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9:U11"/>
    <mergeCell ref="V9:V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G16" sqref="G16:AD32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24" t="str">
        <f>封面!$A$4</f>
        <v>彰化縣地方教育發展基金－彰化縣秀水鄉馬興國民小學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6"/>
    </row>
    <row r="2" spans="1:13" ht="13.2">
      <c r="A2" s="625"/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6"/>
    </row>
    <row r="3" spans="1:13" ht="13.2">
      <c r="M3" s="230"/>
    </row>
    <row r="4" spans="1:13" ht="23.25" customHeight="1">
      <c r="A4" s="627" t="s">
        <v>29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</row>
    <row r="5" spans="1:13" ht="2.25" customHeight="1">
      <c r="A5" s="627"/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</row>
    <row r="6" spans="1:13" ht="16.2">
      <c r="A6" s="628" t="str">
        <f>封面!$E$10&amp;封面!$H$10&amp;封面!$I$10&amp;封面!$J$10&amp;封面!$K$10&amp;封面!L10</f>
        <v>中華民國110年11月份</v>
      </c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</row>
    <row r="7" spans="1:13" ht="10.5" customHeight="1"/>
    <row r="8" spans="1:13" ht="16.2">
      <c r="A8" s="584" t="s">
        <v>1</v>
      </c>
      <c r="B8" s="584"/>
      <c r="C8" s="584"/>
      <c r="D8" s="584"/>
      <c r="E8" s="584"/>
      <c r="F8" s="584"/>
      <c r="G8" s="584"/>
      <c r="H8" s="584"/>
      <c r="I8" s="584"/>
      <c r="J8" s="584"/>
      <c r="K8" s="584"/>
      <c r="L8" s="584"/>
      <c r="M8" s="584"/>
    </row>
    <row r="9" spans="1:13" ht="1.5" customHeight="1"/>
    <row r="10" spans="1:13" s="5" customFormat="1" ht="32.25" customHeight="1">
      <c r="A10" s="16"/>
      <c r="B10" s="618" t="s">
        <v>30</v>
      </c>
      <c r="C10" s="619"/>
      <c r="D10" s="620" t="s">
        <v>31</v>
      </c>
      <c r="E10" s="623" t="s">
        <v>32</v>
      </c>
      <c r="F10" s="618"/>
      <c r="G10" s="618"/>
      <c r="H10" s="629" t="s">
        <v>210</v>
      </c>
      <c r="I10" s="630"/>
      <c r="J10" s="630"/>
      <c r="K10" s="630"/>
      <c r="L10" s="630"/>
      <c r="M10" s="229"/>
    </row>
    <row r="11" spans="1:13" s="5" customFormat="1" ht="16.5" hidden="1" customHeight="1">
      <c r="B11" s="631" t="s">
        <v>33</v>
      </c>
      <c r="C11" s="620" t="s">
        <v>34</v>
      </c>
      <c r="D11" s="621"/>
      <c r="E11" s="620" t="s">
        <v>35</v>
      </c>
      <c r="F11" s="620" t="s">
        <v>36</v>
      </c>
      <c r="G11" s="620" t="s">
        <v>37</v>
      </c>
      <c r="H11" s="620" t="s">
        <v>35</v>
      </c>
      <c r="I11" s="620" t="s">
        <v>36</v>
      </c>
      <c r="J11" s="635" t="s">
        <v>202</v>
      </c>
      <c r="K11" s="636"/>
      <c r="L11" s="637"/>
      <c r="M11" s="149"/>
    </row>
    <row r="12" spans="1:13" s="5" customFormat="1" ht="16.2">
      <c r="A12" s="16"/>
      <c r="B12" s="632"/>
      <c r="C12" s="633"/>
      <c r="D12" s="622"/>
      <c r="E12" s="633"/>
      <c r="F12" s="633"/>
      <c r="G12" s="633"/>
      <c r="H12" s="634"/>
      <c r="I12" s="634"/>
      <c r="J12" s="229" t="s">
        <v>203</v>
      </c>
      <c r="K12" s="231"/>
      <c r="L12" s="229" t="s">
        <v>204</v>
      </c>
      <c r="M12" s="229"/>
    </row>
    <row r="13" spans="1:13" ht="39.75" hidden="1" customHeight="1">
      <c r="C13" s="343"/>
      <c r="D13" s="343"/>
      <c r="E13" s="343"/>
      <c r="H13" s="14"/>
      <c r="I13" s="14"/>
      <c r="J13" s="14"/>
      <c r="K13" s="14"/>
      <c r="L13" s="14"/>
      <c r="M13" s="14"/>
    </row>
    <row r="14" spans="1:13" ht="13.2" hidden="1">
      <c r="C14" s="343"/>
      <c r="D14" s="343"/>
      <c r="E14" s="343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394"/>
      <c r="D15" s="395" t="s">
        <v>38</v>
      </c>
      <c r="E15" s="396"/>
      <c r="F15" s="277"/>
      <c r="G15" s="278"/>
      <c r="H15" s="279">
        <v>2397440</v>
      </c>
      <c r="I15" s="279">
        <v>1717000</v>
      </c>
      <c r="J15" s="279">
        <v>680440</v>
      </c>
      <c r="K15" s="279"/>
      <c r="L15" s="280">
        <v>39.629586488060568</v>
      </c>
      <c r="M15" s="147"/>
    </row>
    <row r="16" spans="1:13" ht="12.75" hidden="1" customHeight="1">
      <c r="A16" s="6"/>
      <c r="B16" s="155"/>
      <c r="C16" s="379"/>
      <c r="D16" s="380"/>
      <c r="E16" s="381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397"/>
      <c r="D17" s="398" t="s">
        <v>39</v>
      </c>
      <c r="E17" s="396"/>
      <c r="F17" s="277"/>
      <c r="G17" s="278"/>
      <c r="H17" s="279">
        <v>35142071</v>
      </c>
      <c r="I17" s="279">
        <v>35933000</v>
      </c>
      <c r="J17" s="279">
        <v>-790929</v>
      </c>
      <c r="K17" s="279"/>
      <c r="L17" s="280">
        <v>-2.2011215317396262</v>
      </c>
      <c r="M17" s="147"/>
    </row>
    <row r="18" spans="1:13" ht="12.75" hidden="1" customHeight="1">
      <c r="B18" s="156"/>
      <c r="C18" s="380"/>
      <c r="D18" s="399"/>
      <c r="E18" s="381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0"/>
      <c r="D19" s="380"/>
      <c r="E19" s="381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25</v>
      </c>
      <c r="C20" s="394"/>
      <c r="D20" s="395" t="s">
        <v>38</v>
      </c>
      <c r="E20" s="396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79"/>
      <c r="D21" s="380"/>
      <c r="E21" s="381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397"/>
      <c r="D22" s="398" t="s">
        <v>39</v>
      </c>
      <c r="E22" s="396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G16" sqref="G16:AD32"/>
    </sheetView>
  </sheetViews>
  <sheetFormatPr defaultColWidth="9.109375" defaultRowHeight="1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640"/>
      <c r="J1" s="241"/>
      <c r="K1" s="215"/>
    </row>
    <row r="2" spans="1:11" s="85" customFormat="1" ht="19.8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2.2">
      <c r="A4" s="644" t="s">
        <v>277</v>
      </c>
      <c r="B4" s="644"/>
      <c r="C4" s="644"/>
      <c r="D4" s="644"/>
      <c r="E4" s="644"/>
      <c r="F4" s="644"/>
      <c r="G4" s="640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2">
      <c r="A6" s="643" t="str">
        <f>封面!$E$10&amp;封面!$H$10&amp;封面!$I$10&amp;封面!$J$10&amp;封面!$K$10&amp;封面!L10</f>
        <v>中華民國110年11月份</v>
      </c>
      <c r="B6" s="643"/>
      <c r="C6" s="643"/>
      <c r="D6" s="643"/>
      <c r="E6" s="643"/>
      <c r="F6" s="643"/>
      <c r="G6" s="640"/>
      <c r="J6" s="241"/>
      <c r="K6" s="215"/>
    </row>
    <row r="7" spans="1:11" s="85" customFormat="1" ht="14.25" customHeight="1">
      <c r="A7" s="584" t="s">
        <v>41</v>
      </c>
      <c r="B7" s="584"/>
      <c r="C7" s="584"/>
      <c r="D7" s="584"/>
      <c r="E7" s="584"/>
      <c r="F7" s="584"/>
      <c r="G7" s="640"/>
      <c r="J7" s="241"/>
      <c r="K7" s="215"/>
    </row>
    <row r="8" spans="1:11" s="242" customFormat="1" ht="28.5" customHeight="1">
      <c r="A8" s="641" t="s">
        <v>221</v>
      </c>
      <c r="B8" s="641" t="s">
        <v>279</v>
      </c>
      <c r="C8" s="641" t="s">
        <v>280</v>
      </c>
      <c r="D8" s="645" t="s">
        <v>283</v>
      </c>
      <c r="E8" s="646"/>
      <c r="F8" s="575" t="s">
        <v>284</v>
      </c>
      <c r="G8" s="572" t="s">
        <v>285</v>
      </c>
    </row>
    <row r="9" spans="1:11" s="243" customFormat="1" ht="28.5" customHeight="1">
      <c r="A9" s="642"/>
      <c r="B9" s="642"/>
      <c r="C9" s="642"/>
      <c r="D9" s="325" t="s">
        <v>281</v>
      </c>
      <c r="E9" s="325" t="s">
        <v>282</v>
      </c>
      <c r="F9" s="638"/>
      <c r="G9" s="608"/>
    </row>
    <row r="10" spans="1:11">
      <c r="A10" s="247" t="s">
        <v>212</v>
      </c>
      <c r="B10" s="283">
        <f t="shared" ref="B10:G10" si="0">SUM(B12:B32)</f>
        <v>70280722</v>
      </c>
      <c r="C10" s="283">
        <f t="shared" si="0"/>
        <v>35694644</v>
      </c>
      <c r="D10" s="326">
        <f t="shared" si="0"/>
        <v>7303852</v>
      </c>
      <c r="E10" s="326">
        <f t="shared" si="0"/>
        <v>3828167</v>
      </c>
      <c r="F10" s="326">
        <f t="shared" si="0"/>
        <v>-1792772</v>
      </c>
      <c r="G10" s="326">
        <f t="shared" si="0"/>
        <v>39854535</v>
      </c>
    </row>
    <row r="11" spans="1:11" ht="15.75" hidden="1" customHeight="1">
      <c r="A11" s="248"/>
      <c r="B11" s="284"/>
      <c r="C11" s="284"/>
      <c r="D11" s="327"/>
      <c r="E11" s="327"/>
      <c r="F11" s="327"/>
      <c r="G11" s="327"/>
    </row>
    <row r="12" spans="1:11">
      <c r="A12" s="249" t="s">
        <v>213</v>
      </c>
      <c r="B12" s="284"/>
      <c r="C12" s="284"/>
      <c r="D12" s="327"/>
      <c r="E12" s="327"/>
      <c r="F12" s="327"/>
      <c r="G12" s="327">
        <f>B12-C12+D12-E12-F12</f>
        <v>0</v>
      </c>
    </row>
    <row r="13" spans="1:11" ht="15.75" hidden="1" customHeight="1">
      <c r="A13" s="249"/>
      <c r="B13" s="284"/>
      <c r="C13" s="378"/>
      <c r="D13" s="437"/>
      <c r="E13" s="437"/>
      <c r="F13" s="327"/>
      <c r="G13" s="327">
        <f t="shared" ref="G13:G33" si="1">B13-C13+D13-E13-F13</f>
        <v>0</v>
      </c>
    </row>
    <row r="14" spans="1:11">
      <c r="A14" s="249" t="s">
        <v>214</v>
      </c>
      <c r="B14" s="440">
        <v>9760300</v>
      </c>
      <c r="C14" s="438"/>
      <c r="D14" s="437">
        <v>1267058</v>
      </c>
      <c r="E14" s="437"/>
      <c r="F14" s="327"/>
      <c r="G14" s="327">
        <f t="shared" si="1"/>
        <v>11027358</v>
      </c>
    </row>
    <row r="15" spans="1:11" ht="15.75" hidden="1" customHeight="1">
      <c r="A15" s="249"/>
      <c r="B15" s="438"/>
      <c r="C15" s="438"/>
      <c r="D15" s="437"/>
      <c r="E15" s="437"/>
      <c r="F15" s="327"/>
      <c r="G15" s="327">
        <f t="shared" si="1"/>
        <v>0</v>
      </c>
    </row>
    <row r="16" spans="1:11">
      <c r="A16" s="249" t="s">
        <v>215</v>
      </c>
      <c r="B16" s="440">
        <v>5526838</v>
      </c>
      <c r="C16" s="441">
        <v>1994354</v>
      </c>
      <c r="D16" s="439"/>
      <c r="E16" s="437"/>
      <c r="F16" s="441">
        <v>360833</v>
      </c>
      <c r="G16" s="327">
        <f t="shared" si="1"/>
        <v>3171651</v>
      </c>
    </row>
    <row r="17" spans="1:7" ht="15.75" hidden="1" customHeight="1">
      <c r="A17" s="249"/>
      <c r="B17" s="438"/>
      <c r="C17" s="438"/>
      <c r="D17" s="439"/>
      <c r="E17" s="437"/>
      <c r="F17" s="439"/>
      <c r="G17" s="327">
        <f t="shared" si="1"/>
        <v>0</v>
      </c>
    </row>
    <row r="18" spans="1:7">
      <c r="A18" s="249" t="s">
        <v>216</v>
      </c>
      <c r="B18" s="440">
        <v>44439582</v>
      </c>
      <c r="C18" s="441">
        <v>24273070</v>
      </c>
      <c r="D18" s="439">
        <v>4207017</v>
      </c>
      <c r="E18" s="437">
        <v>1356887</v>
      </c>
      <c r="F18" s="441">
        <v>-317584</v>
      </c>
      <c r="G18" s="327">
        <f t="shared" si="1"/>
        <v>23334226</v>
      </c>
    </row>
    <row r="19" spans="1:7" ht="15.75" hidden="1" customHeight="1">
      <c r="A19" s="249"/>
      <c r="B19" s="438"/>
      <c r="C19" s="438"/>
      <c r="D19" s="439"/>
      <c r="E19" s="437"/>
      <c r="F19" s="439"/>
      <c r="G19" s="327">
        <f t="shared" si="1"/>
        <v>0</v>
      </c>
    </row>
    <row r="20" spans="1:7">
      <c r="A20" s="249" t="s">
        <v>217</v>
      </c>
      <c r="B20" s="440">
        <v>5359592</v>
      </c>
      <c r="C20" s="441">
        <v>4936563</v>
      </c>
      <c r="D20" s="441">
        <v>1017602</v>
      </c>
      <c r="E20" s="437">
        <v>1471474</v>
      </c>
      <c r="F20" s="441">
        <v>-1103931</v>
      </c>
      <c r="G20" s="327">
        <f t="shared" si="1"/>
        <v>1073088</v>
      </c>
    </row>
    <row r="21" spans="1:7" ht="15.75" hidden="1" customHeight="1">
      <c r="A21" s="249"/>
      <c r="B21" s="438"/>
      <c r="C21" s="438"/>
      <c r="D21" s="439"/>
      <c r="E21" s="437"/>
      <c r="F21" s="439"/>
      <c r="G21" s="327">
        <f t="shared" si="1"/>
        <v>0</v>
      </c>
    </row>
    <row r="22" spans="1:7">
      <c r="A22" s="249" t="s">
        <v>218</v>
      </c>
      <c r="B22" s="440">
        <v>833400</v>
      </c>
      <c r="C22" s="441">
        <v>702170</v>
      </c>
      <c r="D22" s="441">
        <v>150500</v>
      </c>
      <c r="E22" s="437">
        <v>349400</v>
      </c>
      <c r="F22" s="441">
        <v>-274390</v>
      </c>
      <c r="G22" s="327">
        <f t="shared" si="1"/>
        <v>206720</v>
      </c>
    </row>
    <row r="23" spans="1:7" ht="15.75" hidden="1" customHeight="1">
      <c r="A23" s="249"/>
      <c r="B23" s="438"/>
      <c r="C23" s="438"/>
      <c r="D23" s="439"/>
      <c r="E23" s="327"/>
      <c r="F23" s="439"/>
      <c r="G23" s="327">
        <f t="shared" si="1"/>
        <v>0</v>
      </c>
    </row>
    <row r="24" spans="1:7">
      <c r="A24" s="249" t="s">
        <v>219</v>
      </c>
      <c r="B24" s="440">
        <v>4361010</v>
      </c>
      <c r="C24" s="441">
        <v>3788487</v>
      </c>
      <c r="D24" s="441">
        <v>661675</v>
      </c>
      <c r="E24" s="327">
        <v>650406</v>
      </c>
      <c r="F24" s="441">
        <v>-457700</v>
      </c>
      <c r="G24" s="327">
        <f t="shared" si="1"/>
        <v>1041492</v>
      </c>
    </row>
    <row r="25" spans="1:7" ht="15.75" hidden="1" customHeight="1">
      <c r="A25" s="249"/>
      <c r="B25" s="284"/>
      <c r="C25" s="284"/>
      <c r="D25" s="327"/>
      <c r="E25" s="327"/>
      <c r="F25" s="327"/>
      <c r="G25" s="327">
        <f t="shared" si="1"/>
        <v>0</v>
      </c>
    </row>
    <row r="26" spans="1:7">
      <c r="A26" s="249" t="s">
        <v>220</v>
      </c>
      <c r="B26" s="284"/>
      <c r="C26" s="284"/>
      <c r="D26" s="327"/>
      <c r="E26" s="327"/>
      <c r="F26" s="327"/>
      <c r="G26" s="327">
        <f t="shared" si="1"/>
        <v>0</v>
      </c>
    </row>
    <row r="27" spans="1:7" ht="15.75" hidden="1" customHeight="1">
      <c r="A27" s="249"/>
      <c r="B27" s="284"/>
      <c r="C27" s="284"/>
      <c r="D27" s="327"/>
      <c r="E27" s="327"/>
      <c r="F27" s="327"/>
      <c r="G27" s="327">
        <f t="shared" si="1"/>
        <v>0</v>
      </c>
    </row>
    <row r="28" spans="1:7">
      <c r="A28" s="249" t="s">
        <v>278</v>
      </c>
      <c r="B28" s="284"/>
      <c r="C28" s="284"/>
      <c r="D28" s="327"/>
      <c r="E28" s="327"/>
      <c r="F28" s="327"/>
      <c r="G28" s="327">
        <f t="shared" si="1"/>
        <v>0</v>
      </c>
    </row>
    <row r="29" spans="1:7" ht="15.75" hidden="1" customHeight="1">
      <c r="A29" s="249"/>
      <c r="B29" s="284"/>
      <c r="C29" s="284"/>
      <c r="D29" s="327"/>
      <c r="E29" s="327"/>
      <c r="F29" s="327"/>
      <c r="G29" s="327">
        <f t="shared" si="1"/>
        <v>0</v>
      </c>
    </row>
    <row r="30" spans="1:7">
      <c r="A30" s="249" t="s">
        <v>52</v>
      </c>
      <c r="B30" s="284"/>
      <c r="C30" s="284"/>
      <c r="D30" s="327"/>
      <c r="E30" s="327"/>
      <c r="F30" s="327"/>
      <c r="G30" s="327">
        <f t="shared" si="1"/>
        <v>0</v>
      </c>
    </row>
    <row r="31" spans="1:7">
      <c r="A31" s="249" t="s">
        <v>207</v>
      </c>
      <c r="B31" s="284"/>
      <c r="C31" s="284"/>
      <c r="D31" s="327"/>
      <c r="E31" s="327"/>
      <c r="F31" s="327"/>
      <c r="G31" s="327">
        <f t="shared" si="1"/>
        <v>0</v>
      </c>
    </row>
    <row r="32" spans="1:7" ht="15.75" hidden="1" customHeight="1">
      <c r="A32" s="249"/>
      <c r="B32" s="284"/>
      <c r="C32" s="284"/>
      <c r="D32" s="327"/>
      <c r="E32" s="327"/>
      <c r="F32" s="327"/>
      <c r="G32" s="327">
        <f t="shared" si="1"/>
        <v>0</v>
      </c>
    </row>
    <row r="33" spans="1:7">
      <c r="A33" s="250" t="s">
        <v>208</v>
      </c>
      <c r="B33" s="285"/>
      <c r="C33" s="285"/>
      <c r="D33" s="328"/>
      <c r="E33" s="328"/>
      <c r="F33" s="328"/>
      <c r="G33" s="328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16" sqref="G16:AD32"/>
      <selection pane="bottomLeft" activeCell="G16" sqref="G16:AD32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48"/>
      <c r="U1" s="648"/>
      <c r="V1" s="648"/>
      <c r="W1" s="648"/>
    </row>
    <row r="2" spans="1:24" ht="24.75" customHeight="1">
      <c r="A2" s="585" t="str">
        <f>封面!$A$4</f>
        <v>彰化縣地方教育發展基金－彰化縣秀水鄉馬興國民小學</v>
      </c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</row>
    <row r="3" spans="1:24" ht="20.25" customHeight="1">
      <c r="A3" s="624" t="s">
        <v>71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</row>
    <row r="4" spans="1:24" ht="20.25" customHeight="1">
      <c r="A4" s="583" t="str">
        <f>封面!$E$10&amp;封面!$H$10&amp;封面!$I$10&amp;封面!$J$10&amp;封面!$K$10&amp;封面!L10</f>
        <v>中華民國110年11月份</v>
      </c>
      <c r="B4" s="583"/>
      <c r="C4" s="583"/>
      <c r="D4" s="583"/>
      <c r="E4" s="583"/>
      <c r="F4" s="583"/>
      <c r="G4" s="583"/>
      <c r="H4" s="583"/>
      <c r="I4" s="583"/>
      <c r="J4" s="583"/>
      <c r="K4" s="583"/>
      <c r="L4" s="583"/>
      <c r="M4" s="583"/>
      <c r="N4" s="583"/>
      <c r="O4" s="583"/>
      <c r="P4" s="583"/>
      <c r="Q4" s="583"/>
      <c r="R4" s="583"/>
      <c r="S4" s="583"/>
      <c r="T4" s="583"/>
      <c r="U4" s="583"/>
      <c r="V4" s="583"/>
      <c r="W4" s="583"/>
    </row>
    <row r="5" spans="1:24" ht="16.2">
      <c r="S5" s="650" t="s">
        <v>1</v>
      </c>
      <c r="T5" s="559"/>
      <c r="U5" s="559"/>
      <c r="V5" s="559"/>
      <c r="W5" s="559"/>
    </row>
    <row r="6" spans="1:24" ht="13.8" hidden="1"/>
    <row r="7" spans="1:24" ht="8.1" customHeight="1">
      <c r="A7" s="629" t="s">
        <v>6</v>
      </c>
      <c r="B7" s="649"/>
      <c r="C7" s="649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29" t="s">
        <v>73</v>
      </c>
      <c r="O7" s="647"/>
      <c r="P7" s="629" t="s">
        <v>74</v>
      </c>
      <c r="Q7" s="647"/>
      <c r="R7" s="629" t="s">
        <v>72</v>
      </c>
      <c r="S7" s="647"/>
      <c r="T7" s="647"/>
      <c r="U7" s="647"/>
      <c r="V7" s="647"/>
      <c r="W7" s="647"/>
      <c r="X7" s="6"/>
    </row>
    <row r="8" spans="1:24" ht="8.1" customHeight="1">
      <c r="A8" s="649"/>
      <c r="B8" s="649"/>
      <c r="C8" s="649"/>
      <c r="D8" s="649"/>
      <c r="E8" s="649"/>
      <c r="F8" s="649"/>
      <c r="G8" s="649"/>
      <c r="H8" s="649"/>
      <c r="I8" s="649"/>
      <c r="J8" s="649"/>
      <c r="K8" s="649"/>
      <c r="L8" s="649"/>
      <c r="M8" s="649"/>
      <c r="N8" s="647"/>
      <c r="O8" s="647"/>
      <c r="P8" s="647"/>
      <c r="Q8" s="647"/>
      <c r="R8" s="647"/>
      <c r="S8" s="647"/>
      <c r="T8" s="647"/>
      <c r="U8" s="647"/>
      <c r="V8" s="647"/>
      <c r="W8" s="647"/>
      <c r="X8" s="6"/>
    </row>
    <row r="9" spans="1:24" ht="8.1" customHeight="1">
      <c r="A9" s="649"/>
      <c r="B9" s="649"/>
      <c r="C9" s="649"/>
      <c r="D9" s="649"/>
      <c r="E9" s="649"/>
      <c r="F9" s="649"/>
      <c r="G9" s="649"/>
      <c r="H9" s="649"/>
      <c r="I9" s="649"/>
      <c r="J9" s="649"/>
      <c r="K9" s="649"/>
      <c r="L9" s="649"/>
      <c r="M9" s="649"/>
      <c r="N9" s="647"/>
      <c r="O9" s="647"/>
      <c r="P9" s="647"/>
      <c r="Q9" s="647"/>
      <c r="R9" s="629" t="s">
        <v>4</v>
      </c>
      <c r="S9" s="647"/>
      <c r="T9" s="647"/>
      <c r="U9" s="647"/>
      <c r="V9" s="83"/>
      <c r="W9" s="651" t="s">
        <v>156</v>
      </c>
      <c r="X9" s="6"/>
    </row>
    <row r="10" spans="1:24" ht="8.1" customHeight="1">
      <c r="A10" s="649"/>
      <c r="B10" s="649"/>
      <c r="C10" s="649"/>
      <c r="D10" s="649"/>
      <c r="E10" s="649"/>
      <c r="F10" s="649"/>
      <c r="G10" s="649"/>
      <c r="H10" s="649"/>
      <c r="I10" s="649"/>
      <c r="J10" s="649"/>
      <c r="K10" s="649"/>
      <c r="L10" s="649"/>
      <c r="M10" s="649"/>
      <c r="N10" s="647"/>
      <c r="O10" s="647"/>
      <c r="P10" s="647"/>
      <c r="Q10" s="647"/>
      <c r="R10" s="647"/>
      <c r="S10" s="647"/>
      <c r="T10" s="647"/>
      <c r="U10" s="647"/>
      <c r="V10" s="84"/>
      <c r="W10" s="633"/>
      <c r="X10" s="6"/>
    </row>
    <row r="11" spans="1:24" ht="13.2" hidden="1">
      <c r="A11" s="649"/>
      <c r="B11" s="649"/>
      <c r="C11" s="649"/>
      <c r="D11" s="649"/>
      <c r="E11" s="649"/>
      <c r="F11" s="649"/>
      <c r="G11" s="649"/>
      <c r="H11" s="649"/>
      <c r="I11" s="649"/>
      <c r="J11" s="649"/>
      <c r="K11" s="649"/>
      <c r="L11" s="649"/>
      <c r="M11" s="649"/>
      <c r="N11" s="647"/>
      <c r="O11" s="647"/>
      <c r="P11" s="647"/>
      <c r="Q11" s="647"/>
      <c r="R11" s="647"/>
      <c r="S11" s="647"/>
      <c r="T11" s="647"/>
      <c r="U11" s="647"/>
      <c r="V11" s="84"/>
      <c r="W11" s="84"/>
      <c r="X11" s="6"/>
    </row>
    <row r="12" spans="1:24" ht="15.75" customHeight="1">
      <c r="A12" s="258"/>
      <c r="B12" s="90" t="s">
        <v>466</v>
      </c>
      <c r="C12" s="90"/>
      <c r="D12" s="90"/>
      <c r="E12" s="90"/>
      <c r="F12" s="90" t="s">
        <v>531</v>
      </c>
      <c r="G12" s="90"/>
      <c r="H12" s="90"/>
      <c r="I12" s="90"/>
      <c r="J12" s="90"/>
      <c r="K12" s="90"/>
      <c r="L12" s="90"/>
      <c r="M12" s="259"/>
      <c r="N12" s="264"/>
      <c r="O12" s="265">
        <v>34554000</v>
      </c>
      <c r="P12" s="266"/>
      <c r="Q12" s="265">
        <v>34059227</v>
      </c>
      <c r="R12" s="266"/>
      <c r="S12" s="265">
        <v>-494773</v>
      </c>
      <c r="T12" s="265"/>
      <c r="U12" s="265"/>
      <c r="V12" s="266"/>
      <c r="W12" s="265" t="s">
        <v>532</v>
      </c>
      <c r="X12" s="6"/>
    </row>
    <row r="13" spans="1:24" ht="15.75" customHeight="1">
      <c r="A13" s="260"/>
      <c r="B13" s="91"/>
      <c r="C13" s="377" t="s">
        <v>468</v>
      </c>
      <c r="D13" s="377"/>
      <c r="E13" s="377"/>
      <c r="F13" s="91"/>
      <c r="G13" s="91" t="s">
        <v>533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22569290</v>
      </c>
      <c r="R13" s="268"/>
      <c r="S13" s="269">
        <v>22569290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77"/>
      <c r="D14" s="377" t="s">
        <v>534</v>
      </c>
      <c r="E14" s="377"/>
      <c r="F14" s="91"/>
      <c r="G14" s="91"/>
      <c r="H14" s="91"/>
      <c r="I14" s="91" t="s">
        <v>535</v>
      </c>
      <c r="J14" s="91"/>
      <c r="K14" s="91"/>
      <c r="L14" s="91"/>
      <c r="M14" s="261"/>
      <c r="N14" s="267"/>
      <c r="O14" s="268"/>
      <c r="P14" s="268"/>
      <c r="Q14" s="269">
        <v>22186550</v>
      </c>
      <c r="R14" s="268"/>
      <c r="S14" s="269">
        <v>22186550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77"/>
      <c r="D15" s="377" t="s">
        <v>536</v>
      </c>
      <c r="E15" s="377"/>
      <c r="F15" s="91"/>
      <c r="G15" s="91"/>
      <c r="H15" s="91"/>
      <c r="I15" s="91" t="s">
        <v>537</v>
      </c>
      <c r="J15" s="91"/>
      <c r="K15" s="91"/>
      <c r="L15" s="91"/>
      <c r="M15" s="261"/>
      <c r="N15" s="267"/>
      <c r="O15" s="268"/>
      <c r="P15" s="268"/>
      <c r="Q15" s="269">
        <v>382740</v>
      </c>
      <c r="R15" s="268"/>
      <c r="S15" s="269">
        <v>382740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77" t="s">
        <v>538</v>
      </c>
      <c r="D16" s="377"/>
      <c r="E16" s="377"/>
      <c r="F16" s="91"/>
      <c r="G16" s="91" t="s">
        <v>539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486080</v>
      </c>
      <c r="R16" s="268"/>
      <c r="S16" s="269">
        <v>486080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77"/>
      <c r="D17" s="377" t="s">
        <v>540</v>
      </c>
      <c r="E17" s="377"/>
      <c r="F17" s="91"/>
      <c r="G17" s="91"/>
      <c r="H17" s="91"/>
      <c r="I17" s="91" t="s">
        <v>541</v>
      </c>
      <c r="J17" s="91"/>
      <c r="K17" s="91"/>
      <c r="L17" s="91"/>
      <c r="M17" s="261"/>
      <c r="N17" s="267"/>
      <c r="O17" s="268"/>
      <c r="P17" s="268"/>
      <c r="Q17" s="269">
        <v>486080</v>
      </c>
      <c r="R17" s="268"/>
      <c r="S17" s="269">
        <v>486080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77" t="s">
        <v>542</v>
      </c>
      <c r="D18" s="377"/>
      <c r="E18" s="377"/>
      <c r="F18" s="91"/>
      <c r="G18" s="91" t="s">
        <v>543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346560</v>
      </c>
      <c r="R18" s="268"/>
      <c r="S18" s="269">
        <v>346560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77"/>
      <c r="D19" s="377" t="s">
        <v>544</v>
      </c>
      <c r="E19" s="377"/>
      <c r="F19" s="91"/>
      <c r="G19" s="91"/>
      <c r="H19" s="91"/>
      <c r="I19" s="91" t="s">
        <v>545</v>
      </c>
      <c r="J19" s="91"/>
      <c r="K19" s="91"/>
      <c r="L19" s="91"/>
      <c r="M19" s="261"/>
      <c r="N19" s="267"/>
      <c r="O19" s="268"/>
      <c r="P19" s="268"/>
      <c r="Q19" s="269">
        <v>346560</v>
      </c>
      <c r="R19" s="268"/>
      <c r="S19" s="269">
        <v>346560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77" t="s">
        <v>546</v>
      </c>
      <c r="D20" s="377"/>
      <c r="E20" s="377"/>
      <c r="F20" s="91"/>
      <c r="G20" s="91" t="s">
        <v>547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6268719</v>
      </c>
      <c r="R20" s="268"/>
      <c r="S20" s="269">
        <v>6268719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77"/>
      <c r="D21" s="377" t="s">
        <v>548</v>
      </c>
      <c r="E21" s="377"/>
      <c r="F21" s="91"/>
      <c r="G21" s="91"/>
      <c r="H21" s="91"/>
      <c r="I21" s="91" t="s">
        <v>549</v>
      </c>
      <c r="J21" s="91"/>
      <c r="K21" s="91"/>
      <c r="L21" s="91"/>
      <c r="M21" s="261"/>
      <c r="N21" s="267"/>
      <c r="O21" s="268"/>
      <c r="P21" s="268"/>
      <c r="Q21" s="269">
        <v>3375823</v>
      </c>
      <c r="R21" s="268"/>
      <c r="S21" s="269">
        <v>3375823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77"/>
      <c r="D22" s="377" t="s">
        <v>550</v>
      </c>
      <c r="E22" s="377"/>
      <c r="F22" s="91"/>
      <c r="G22" s="91"/>
      <c r="H22" s="91"/>
      <c r="I22" s="91" t="s">
        <v>551</v>
      </c>
      <c r="J22" s="91"/>
      <c r="K22" s="91"/>
      <c r="L22" s="91"/>
      <c r="M22" s="261"/>
      <c r="N22" s="267"/>
      <c r="O22" s="268"/>
      <c r="P22" s="268"/>
      <c r="Q22" s="269">
        <v>2892896</v>
      </c>
      <c r="R22" s="268"/>
      <c r="S22" s="269">
        <v>2892896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552</v>
      </c>
      <c r="D23" s="91"/>
      <c r="E23" s="91"/>
      <c r="F23" s="91"/>
      <c r="G23" s="91" t="s">
        <v>553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2186869</v>
      </c>
      <c r="R23" s="268"/>
      <c r="S23" s="269">
        <v>2186869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554</v>
      </c>
      <c r="E24" s="91"/>
      <c r="F24" s="91"/>
      <c r="G24" s="91"/>
      <c r="H24" s="91"/>
      <c r="I24" s="91" t="s">
        <v>555</v>
      </c>
      <c r="J24" s="91"/>
      <c r="K24" s="91"/>
      <c r="L24" s="91"/>
      <c r="M24" s="261"/>
      <c r="N24" s="267"/>
      <c r="O24" s="268"/>
      <c r="P24" s="268"/>
      <c r="Q24" s="269">
        <v>2186869</v>
      </c>
      <c r="R24" s="268"/>
      <c r="S24" s="269">
        <v>2186869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 t="s">
        <v>556</v>
      </c>
      <c r="D25" s="91"/>
      <c r="E25" s="91"/>
      <c r="F25" s="91"/>
      <c r="G25" s="91" t="s">
        <v>557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2201709</v>
      </c>
      <c r="R25" s="268"/>
      <c r="S25" s="269">
        <v>2201709</v>
      </c>
      <c r="T25" s="269"/>
      <c r="U25" s="269"/>
      <c r="V25" s="268"/>
      <c r="W25" s="268"/>
      <c r="X25" s="6"/>
    </row>
    <row r="26" spans="1:24" ht="15.75" customHeight="1">
      <c r="A26" s="260"/>
      <c r="B26" s="91"/>
      <c r="C26" s="91"/>
      <c r="D26" s="91" t="s">
        <v>558</v>
      </c>
      <c r="E26" s="91"/>
      <c r="F26" s="91"/>
      <c r="G26" s="91"/>
      <c r="H26" s="91"/>
      <c r="I26" s="91" t="s">
        <v>559</v>
      </c>
      <c r="J26" s="91"/>
      <c r="K26" s="91"/>
      <c r="L26" s="91"/>
      <c r="M26" s="261"/>
      <c r="N26" s="267"/>
      <c r="O26" s="268"/>
      <c r="P26" s="268"/>
      <c r="Q26" s="269">
        <v>2025709</v>
      </c>
      <c r="R26" s="268"/>
      <c r="S26" s="269">
        <v>2025709</v>
      </c>
      <c r="T26" s="269"/>
      <c r="U26" s="269"/>
      <c r="V26" s="268"/>
      <c r="W26" s="268"/>
      <c r="X26" s="6"/>
    </row>
    <row r="27" spans="1:24" ht="15.75" customHeight="1">
      <c r="A27" s="260"/>
      <c r="B27" s="91"/>
      <c r="C27" s="91"/>
      <c r="D27" s="91" t="s">
        <v>560</v>
      </c>
      <c r="E27" s="91"/>
      <c r="F27" s="91"/>
      <c r="G27" s="91"/>
      <c r="H27" s="91"/>
      <c r="I27" s="91" t="s">
        <v>561</v>
      </c>
      <c r="J27" s="91"/>
      <c r="K27" s="91"/>
      <c r="L27" s="91"/>
      <c r="M27" s="261"/>
      <c r="N27" s="267"/>
      <c r="O27" s="268"/>
      <c r="P27" s="268"/>
      <c r="Q27" s="269">
        <v>176000</v>
      </c>
      <c r="R27" s="268"/>
      <c r="S27" s="269">
        <v>176000</v>
      </c>
      <c r="T27" s="269"/>
      <c r="U27" s="269"/>
      <c r="V27" s="268"/>
      <c r="W27" s="268"/>
      <c r="X27" s="6"/>
    </row>
    <row r="28" spans="1:24" ht="15.75" customHeight="1">
      <c r="A28" s="260"/>
      <c r="B28" s="91" t="s">
        <v>519</v>
      </c>
      <c r="C28" s="91"/>
      <c r="D28" s="91"/>
      <c r="E28" s="91"/>
      <c r="F28" s="91" t="s">
        <v>562</v>
      </c>
      <c r="G28" s="91"/>
      <c r="H28" s="91"/>
      <c r="I28" s="91"/>
      <c r="J28" s="91"/>
      <c r="K28" s="91"/>
      <c r="L28" s="91"/>
      <c r="M28" s="261"/>
      <c r="N28" s="267"/>
      <c r="O28" s="269">
        <v>1020000</v>
      </c>
      <c r="P28" s="268"/>
      <c r="Q28" s="269">
        <v>728404</v>
      </c>
      <c r="R28" s="268"/>
      <c r="S28" s="269">
        <v>-291596</v>
      </c>
      <c r="T28" s="269"/>
      <c r="U28" s="269"/>
      <c r="V28" s="268"/>
      <c r="W28" s="269" t="s">
        <v>563</v>
      </c>
      <c r="X28" s="6"/>
    </row>
    <row r="29" spans="1:24" ht="15.75" customHeight="1">
      <c r="A29" s="260"/>
      <c r="B29" s="91"/>
      <c r="C29" s="91" t="s">
        <v>520</v>
      </c>
      <c r="D29" s="91"/>
      <c r="E29" s="91"/>
      <c r="F29" s="91"/>
      <c r="G29" s="91" t="s">
        <v>564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93296</v>
      </c>
      <c r="R29" s="268"/>
      <c r="S29" s="269">
        <v>93296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/>
      <c r="D30" s="91" t="s">
        <v>565</v>
      </c>
      <c r="E30" s="91"/>
      <c r="F30" s="91"/>
      <c r="G30" s="91"/>
      <c r="H30" s="91"/>
      <c r="I30" s="91" t="s">
        <v>566</v>
      </c>
      <c r="J30" s="91"/>
      <c r="K30" s="91"/>
      <c r="L30" s="91"/>
      <c r="M30" s="261"/>
      <c r="N30" s="267"/>
      <c r="O30" s="268"/>
      <c r="P30" s="268"/>
      <c r="Q30" s="269">
        <v>64037</v>
      </c>
      <c r="R30" s="268"/>
      <c r="S30" s="269">
        <v>64037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567</v>
      </c>
      <c r="E31" s="91"/>
      <c r="F31" s="91"/>
      <c r="G31" s="91"/>
      <c r="H31" s="91"/>
      <c r="I31" s="91" t="s">
        <v>568</v>
      </c>
      <c r="J31" s="91"/>
      <c r="K31" s="91"/>
      <c r="L31" s="91"/>
      <c r="M31" s="261"/>
      <c r="N31" s="267"/>
      <c r="O31" s="268"/>
      <c r="P31" s="268"/>
      <c r="Q31" s="269">
        <v>29259</v>
      </c>
      <c r="R31" s="268"/>
      <c r="S31" s="269">
        <v>29259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 t="s">
        <v>569</v>
      </c>
      <c r="D32" s="91"/>
      <c r="E32" s="91"/>
      <c r="F32" s="91"/>
      <c r="G32" s="91" t="s">
        <v>570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39751</v>
      </c>
      <c r="R32" s="268"/>
      <c r="S32" s="269">
        <v>39751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/>
      <c r="D33" s="91" t="s">
        <v>571</v>
      </c>
      <c r="E33" s="91"/>
      <c r="F33" s="91"/>
      <c r="G33" s="91"/>
      <c r="H33" s="91"/>
      <c r="I33" s="91" t="s">
        <v>572</v>
      </c>
      <c r="J33" s="91"/>
      <c r="K33" s="91"/>
      <c r="L33" s="91"/>
      <c r="M33" s="261"/>
      <c r="N33" s="267"/>
      <c r="O33" s="268"/>
      <c r="P33" s="268"/>
      <c r="Q33" s="269">
        <v>4656</v>
      </c>
      <c r="R33" s="268"/>
      <c r="S33" s="269">
        <v>4656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573</v>
      </c>
      <c r="E34" s="91"/>
      <c r="F34" s="91"/>
      <c r="G34" s="91"/>
      <c r="H34" s="91"/>
      <c r="I34" s="91" t="s">
        <v>574</v>
      </c>
      <c r="J34" s="91"/>
      <c r="K34" s="91"/>
      <c r="L34" s="91"/>
      <c r="M34" s="261"/>
      <c r="N34" s="267"/>
      <c r="O34" s="268"/>
      <c r="P34" s="268"/>
      <c r="Q34" s="269">
        <v>21595</v>
      </c>
      <c r="R34" s="268"/>
      <c r="S34" s="269">
        <v>21595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/>
      <c r="D35" s="91" t="s">
        <v>575</v>
      </c>
      <c r="E35" s="91"/>
      <c r="F35" s="91"/>
      <c r="G35" s="91"/>
      <c r="H35" s="91"/>
      <c r="I35" s="91" t="s">
        <v>576</v>
      </c>
      <c r="J35" s="91"/>
      <c r="K35" s="91"/>
      <c r="L35" s="91"/>
      <c r="M35" s="261"/>
      <c r="N35" s="267"/>
      <c r="O35" s="268"/>
      <c r="P35" s="268"/>
      <c r="Q35" s="269">
        <v>13500</v>
      </c>
      <c r="R35" s="268"/>
      <c r="S35" s="269">
        <v>13500</v>
      </c>
      <c r="T35" s="269"/>
      <c r="U35" s="269"/>
      <c r="V35" s="268"/>
      <c r="W35" s="268"/>
      <c r="X35" s="6"/>
    </row>
    <row r="36" spans="1:24" ht="15.75" customHeight="1">
      <c r="A36" s="260"/>
      <c r="B36" s="91"/>
      <c r="C36" s="91" t="s">
        <v>577</v>
      </c>
      <c r="D36" s="91"/>
      <c r="E36" s="91"/>
      <c r="F36" s="91"/>
      <c r="G36" s="91" t="s">
        <v>578</v>
      </c>
      <c r="H36" s="91"/>
      <c r="I36" s="91"/>
      <c r="J36" s="91"/>
      <c r="K36" s="91"/>
      <c r="L36" s="91"/>
      <c r="M36" s="261"/>
      <c r="N36" s="267"/>
      <c r="O36" s="268"/>
      <c r="P36" s="268"/>
      <c r="Q36" s="269">
        <v>1758</v>
      </c>
      <c r="R36" s="268"/>
      <c r="S36" s="269">
        <v>1758</v>
      </c>
      <c r="T36" s="269"/>
      <c r="U36" s="269"/>
      <c r="V36" s="268"/>
      <c r="W36" s="268"/>
      <c r="X36" s="6"/>
    </row>
    <row r="37" spans="1:24" ht="15.6" customHeight="1">
      <c r="A37" s="262"/>
      <c r="B37" s="92"/>
      <c r="C37" s="92"/>
      <c r="D37" s="92" t="s">
        <v>579</v>
      </c>
      <c r="E37" s="92"/>
      <c r="F37" s="92"/>
      <c r="G37" s="92"/>
      <c r="H37" s="92"/>
      <c r="I37" s="92" t="s">
        <v>580</v>
      </c>
      <c r="J37" s="92"/>
      <c r="K37" s="92"/>
      <c r="L37" s="92"/>
      <c r="M37" s="263"/>
      <c r="N37" s="270"/>
      <c r="O37" s="271"/>
      <c r="P37" s="271"/>
      <c r="Q37" s="272">
        <v>1758</v>
      </c>
      <c r="R37" s="271"/>
      <c r="S37" s="272">
        <v>1758</v>
      </c>
      <c r="T37" s="272"/>
      <c r="U37" s="272"/>
      <c r="V37" s="271"/>
      <c r="W37" s="271"/>
      <c r="X37" s="6"/>
    </row>
    <row r="38" spans="1:24" ht="15.75" customHeight="1">
      <c r="A38" s="258"/>
      <c r="B38" s="90"/>
      <c r="C38" s="90" t="s">
        <v>581</v>
      </c>
      <c r="D38" s="90"/>
      <c r="E38" s="90"/>
      <c r="F38" s="90"/>
      <c r="G38" s="90" t="s">
        <v>582</v>
      </c>
      <c r="H38" s="90"/>
      <c r="I38" s="90"/>
      <c r="J38" s="90"/>
      <c r="K38" s="90"/>
      <c r="L38" s="90"/>
      <c r="M38" s="259"/>
      <c r="N38" s="264"/>
      <c r="O38" s="266"/>
      <c r="P38" s="266"/>
      <c r="Q38" s="265">
        <v>24232</v>
      </c>
      <c r="R38" s="266"/>
      <c r="S38" s="265">
        <v>24232</v>
      </c>
      <c r="T38" s="265"/>
      <c r="U38" s="265"/>
      <c r="V38" s="266"/>
      <c r="W38" s="266"/>
      <c r="X38" s="6"/>
    </row>
    <row r="39" spans="1:24" ht="15.75" customHeight="1">
      <c r="A39" s="260"/>
      <c r="B39" s="91"/>
      <c r="C39" s="91"/>
      <c r="D39" s="91" t="s">
        <v>583</v>
      </c>
      <c r="E39" s="91"/>
      <c r="F39" s="91"/>
      <c r="G39" s="91"/>
      <c r="H39" s="91"/>
      <c r="I39" s="91" t="s">
        <v>584</v>
      </c>
      <c r="J39" s="91"/>
      <c r="K39" s="91"/>
      <c r="L39" s="91"/>
      <c r="M39" s="261"/>
      <c r="N39" s="267"/>
      <c r="O39" s="268"/>
      <c r="P39" s="268"/>
      <c r="Q39" s="269">
        <v>24232</v>
      </c>
      <c r="R39" s="268"/>
      <c r="S39" s="269">
        <v>24232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 t="s">
        <v>585</v>
      </c>
      <c r="D40" s="91"/>
      <c r="E40" s="91"/>
      <c r="F40" s="91"/>
      <c r="G40" s="91" t="s">
        <v>586</v>
      </c>
      <c r="H40" s="91"/>
      <c r="I40" s="91"/>
      <c r="J40" s="91"/>
      <c r="K40" s="91"/>
      <c r="L40" s="91"/>
      <c r="M40" s="261"/>
      <c r="N40" s="267"/>
      <c r="O40" s="268"/>
      <c r="P40" s="268"/>
      <c r="Q40" s="269">
        <v>117391</v>
      </c>
      <c r="R40" s="268"/>
      <c r="S40" s="269">
        <v>117391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/>
      <c r="D41" s="91" t="s">
        <v>587</v>
      </c>
      <c r="E41" s="91"/>
      <c r="F41" s="91"/>
      <c r="G41" s="91"/>
      <c r="H41" s="91"/>
      <c r="I41" s="91" t="s">
        <v>588</v>
      </c>
      <c r="J41" s="91"/>
      <c r="K41" s="91"/>
      <c r="L41" s="91"/>
      <c r="M41" s="261"/>
      <c r="N41" s="267"/>
      <c r="O41" s="268"/>
      <c r="P41" s="268"/>
      <c r="Q41" s="269">
        <v>3620</v>
      </c>
      <c r="R41" s="268"/>
      <c r="S41" s="269">
        <v>3620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589</v>
      </c>
      <c r="E42" s="91"/>
      <c r="F42" s="91"/>
      <c r="G42" s="91"/>
      <c r="H42" s="91"/>
      <c r="I42" s="91" t="s">
        <v>590</v>
      </c>
      <c r="J42" s="91"/>
      <c r="K42" s="91"/>
      <c r="L42" s="91"/>
      <c r="M42" s="261"/>
      <c r="N42" s="267"/>
      <c r="O42" s="268"/>
      <c r="P42" s="268"/>
      <c r="Q42" s="269">
        <v>28100</v>
      </c>
      <c r="R42" s="268"/>
      <c r="S42" s="269">
        <v>28100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591</v>
      </c>
      <c r="E43" s="91"/>
      <c r="F43" s="91"/>
      <c r="G43" s="91"/>
      <c r="H43" s="91"/>
      <c r="I43" s="91" t="s">
        <v>592</v>
      </c>
      <c r="J43" s="91"/>
      <c r="K43" s="91"/>
      <c r="L43" s="91"/>
      <c r="M43" s="261"/>
      <c r="N43" s="267"/>
      <c r="O43" s="268"/>
      <c r="P43" s="268"/>
      <c r="Q43" s="269">
        <v>85671</v>
      </c>
      <c r="R43" s="268"/>
      <c r="S43" s="269">
        <v>85671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 t="s">
        <v>593</v>
      </c>
      <c r="D44" s="91"/>
      <c r="E44" s="91"/>
      <c r="F44" s="91"/>
      <c r="G44" s="91" t="s">
        <v>594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341443</v>
      </c>
      <c r="R44" s="268"/>
      <c r="S44" s="269">
        <v>341443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595</v>
      </c>
      <c r="E45" s="91"/>
      <c r="F45" s="91"/>
      <c r="G45" s="91"/>
      <c r="H45" s="91"/>
      <c r="I45" s="91" t="s">
        <v>596</v>
      </c>
      <c r="J45" s="91"/>
      <c r="K45" s="91"/>
      <c r="L45" s="91"/>
      <c r="M45" s="261"/>
      <c r="N45" s="267"/>
      <c r="O45" s="268"/>
      <c r="P45" s="268"/>
      <c r="Q45" s="269">
        <v>322243</v>
      </c>
      <c r="R45" s="268"/>
      <c r="S45" s="269">
        <v>322243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/>
      <c r="D46" s="91" t="s">
        <v>597</v>
      </c>
      <c r="E46" s="91"/>
      <c r="F46" s="91"/>
      <c r="G46" s="91"/>
      <c r="H46" s="91"/>
      <c r="I46" s="91" t="s">
        <v>598</v>
      </c>
      <c r="J46" s="91"/>
      <c r="K46" s="91"/>
      <c r="L46" s="91"/>
      <c r="M46" s="261"/>
      <c r="N46" s="267"/>
      <c r="O46" s="268"/>
      <c r="P46" s="268"/>
      <c r="Q46" s="269">
        <v>19200</v>
      </c>
      <c r="R46" s="268"/>
      <c r="S46" s="269">
        <v>19200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 t="s">
        <v>523</v>
      </c>
      <c r="D47" s="91"/>
      <c r="E47" s="91"/>
      <c r="F47" s="91"/>
      <c r="G47" s="91" t="s">
        <v>599</v>
      </c>
      <c r="H47" s="91"/>
      <c r="I47" s="91"/>
      <c r="J47" s="91"/>
      <c r="K47" s="91"/>
      <c r="L47" s="91"/>
      <c r="M47" s="261"/>
      <c r="N47" s="267"/>
      <c r="O47" s="268"/>
      <c r="P47" s="268"/>
      <c r="Q47" s="269">
        <v>77660</v>
      </c>
      <c r="R47" s="268"/>
      <c r="S47" s="269">
        <v>77660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600</v>
      </c>
      <c r="E48" s="91"/>
      <c r="F48" s="91"/>
      <c r="G48" s="91"/>
      <c r="H48" s="91"/>
      <c r="I48" s="91" t="s">
        <v>601</v>
      </c>
      <c r="J48" s="91"/>
      <c r="K48" s="91"/>
      <c r="L48" s="91"/>
      <c r="M48" s="261"/>
      <c r="N48" s="267"/>
      <c r="O48" s="268"/>
      <c r="P48" s="268"/>
      <c r="Q48" s="269">
        <v>22660</v>
      </c>
      <c r="R48" s="268"/>
      <c r="S48" s="269">
        <v>22660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/>
      <c r="D49" s="91" t="s">
        <v>602</v>
      </c>
      <c r="E49" s="91"/>
      <c r="F49" s="91"/>
      <c r="G49" s="91"/>
      <c r="H49" s="91"/>
      <c r="I49" s="91" t="s">
        <v>603</v>
      </c>
      <c r="J49" s="91"/>
      <c r="K49" s="91"/>
      <c r="L49" s="91"/>
      <c r="M49" s="261"/>
      <c r="N49" s="267"/>
      <c r="O49" s="268"/>
      <c r="P49" s="268"/>
      <c r="Q49" s="269">
        <v>55000</v>
      </c>
      <c r="R49" s="268"/>
      <c r="S49" s="269">
        <v>55000</v>
      </c>
      <c r="T49" s="269"/>
      <c r="U49" s="269"/>
      <c r="V49" s="268"/>
      <c r="W49" s="268"/>
      <c r="X49" s="6"/>
    </row>
    <row r="50" spans="1:24" ht="15.75" customHeight="1">
      <c r="A50" s="260"/>
      <c r="B50" s="91"/>
      <c r="C50" s="91" t="s">
        <v>604</v>
      </c>
      <c r="D50" s="91"/>
      <c r="E50" s="91"/>
      <c r="F50" s="91"/>
      <c r="G50" s="91" t="s">
        <v>605</v>
      </c>
      <c r="H50" s="91"/>
      <c r="I50" s="91"/>
      <c r="J50" s="91"/>
      <c r="K50" s="91"/>
      <c r="L50" s="91"/>
      <c r="M50" s="261"/>
      <c r="N50" s="267"/>
      <c r="O50" s="268"/>
      <c r="P50" s="268"/>
      <c r="Q50" s="269">
        <v>32873</v>
      </c>
      <c r="R50" s="268"/>
      <c r="S50" s="269">
        <v>32873</v>
      </c>
      <c r="T50" s="269"/>
      <c r="U50" s="269"/>
      <c r="V50" s="268"/>
      <c r="W50" s="268"/>
      <c r="X50" s="6"/>
    </row>
    <row r="51" spans="1:24" ht="15.75" customHeight="1">
      <c r="A51" s="260"/>
      <c r="B51" s="91"/>
      <c r="C51" s="91"/>
      <c r="D51" s="91" t="s">
        <v>606</v>
      </c>
      <c r="E51" s="91"/>
      <c r="F51" s="91"/>
      <c r="G51" s="91"/>
      <c r="H51" s="91"/>
      <c r="I51" s="91" t="s">
        <v>605</v>
      </c>
      <c r="J51" s="91"/>
      <c r="K51" s="91"/>
      <c r="L51" s="91"/>
      <c r="M51" s="261"/>
      <c r="N51" s="267"/>
      <c r="O51" s="268"/>
      <c r="P51" s="268"/>
      <c r="Q51" s="269">
        <v>32873</v>
      </c>
      <c r="R51" s="268"/>
      <c r="S51" s="269">
        <v>32873</v>
      </c>
      <c r="T51" s="269"/>
      <c r="U51" s="269"/>
      <c r="V51" s="268"/>
      <c r="W51" s="268"/>
      <c r="X51" s="6"/>
    </row>
    <row r="52" spans="1:24" ht="15.75" customHeight="1">
      <c r="A52" s="260"/>
      <c r="B52" s="91" t="s">
        <v>526</v>
      </c>
      <c r="C52" s="91"/>
      <c r="D52" s="91"/>
      <c r="E52" s="91"/>
      <c r="F52" s="91" t="s">
        <v>607</v>
      </c>
      <c r="G52" s="91"/>
      <c r="H52" s="91"/>
      <c r="I52" s="91"/>
      <c r="J52" s="91"/>
      <c r="K52" s="91"/>
      <c r="L52" s="91"/>
      <c r="M52" s="261"/>
      <c r="N52" s="267"/>
      <c r="O52" s="268">
        <v>150000</v>
      </c>
      <c r="P52" s="268"/>
      <c r="Q52" s="269">
        <v>58685</v>
      </c>
      <c r="R52" s="268"/>
      <c r="S52" s="269">
        <v>-91315</v>
      </c>
      <c r="T52" s="269"/>
      <c r="U52" s="269"/>
      <c r="V52" s="268"/>
      <c r="W52" s="268" t="s">
        <v>608</v>
      </c>
      <c r="X52" s="6"/>
    </row>
    <row r="53" spans="1:24" ht="15.75" customHeight="1">
      <c r="A53" s="260"/>
      <c r="B53" s="91"/>
      <c r="C53" s="91" t="s">
        <v>609</v>
      </c>
      <c r="D53" s="91"/>
      <c r="E53" s="91"/>
      <c r="F53" s="91"/>
      <c r="G53" s="91" t="s">
        <v>610</v>
      </c>
      <c r="H53" s="91"/>
      <c r="I53" s="91"/>
      <c r="J53" s="91"/>
      <c r="K53" s="91"/>
      <c r="L53" s="91"/>
      <c r="M53" s="261"/>
      <c r="N53" s="267"/>
      <c r="O53" s="268"/>
      <c r="P53" s="268"/>
      <c r="Q53" s="269">
        <v>58685</v>
      </c>
      <c r="R53" s="268"/>
      <c r="S53" s="269">
        <v>58685</v>
      </c>
      <c r="T53" s="269"/>
      <c r="U53" s="269"/>
      <c r="V53" s="268"/>
      <c r="W53" s="268"/>
      <c r="X53" s="6"/>
    </row>
    <row r="54" spans="1:24" ht="15.75" customHeight="1">
      <c r="A54" s="260"/>
      <c r="B54" s="91"/>
      <c r="C54" s="91"/>
      <c r="D54" s="91" t="s">
        <v>611</v>
      </c>
      <c r="E54" s="91"/>
      <c r="F54" s="91"/>
      <c r="G54" s="91"/>
      <c r="H54" s="91"/>
      <c r="I54" s="91" t="s">
        <v>612</v>
      </c>
      <c r="J54" s="91"/>
      <c r="K54" s="91"/>
      <c r="L54" s="91"/>
      <c r="M54" s="261"/>
      <c r="N54" s="267"/>
      <c r="O54" s="269"/>
      <c r="P54" s="268"/>
      <c r="Q54" s="269">
        <v>10119</v>
      </c>
      <c r="R54" s="268"/>
      <c r="S54" s="269">
        <v>10119</v>
      </c>
      <c r="T54" s="269"/>
      <c r="U54" s="269"/>
      <c r="V54" s="268"/>
      <c r="W54" s="269"/>
      <c r="X54" s="6"/>
    </row>
    <row r="55" spans="1:24" ht="15.75" customHeight="1">
      <c r="A55" s="260"/>
      <c r="B55" s="91"/>
      <c r="C55" s="91"/>
      <c r="D55" s="91" t="s">
        <v>613</v>
      </c>
      <c r="E55" s="91"/>
      <c r="F55" s="91"/>
      <c r="G55" s="91"/>
      <c r="H55" s="91"/>
      <c r="I55" s="91" t="s">
        <v>614</v>
      </c>
      <c r="J55" s="91"/>
      <c r="K55" s="91"/>
      <c r="L55" s="91"/>
      <c r="M55" s="261"/>
      <c r="N55" s="267"/>
      <c r="O55" s="268"/>
      <c r="P55" s="268"/>
      <c r="Q55" s="269">
        <v>25826</v>
      </c>
      <c r="R55" s="268"/>
      <c r="S55" s="269">
        <v>25826</v>
      </c>
      <c r="T55" s="269"/>
      <c r="U55" s="269"/>
      <c r="V55" s="268"/>
      <c r="W55" s="268"/>
      <c r="X55" s="6"/>
    </row>
    <row r="56" spans="1:24" ht="15.75" customHeight="1">
      <c r="A56" s="260"/>
      <c r="B56" s="91"/>
      <c r="C56" s="91"/>
      <c r="D56" s="91" t="s">
        <v>615</v>
      </c>
      <c r="E56" s="91"/>
      <c r="F56" s="91"/>
      <c r="G56" s="91"/>
      <c r="H56" s="91"/>
      <c r="I56" s="91" t="s">
        <v>616</v>
      </c>
      <c r="J56" s="91"/>
      <c r="K56" s="91"/>
      <c r="L56" s="91"/>
      <c r="M56" s="261"/>
      <c r="N56" s="267"/>
      <c r="O56" s="268"/>
      <c r="P56" s="268"/>
      <c r="Q56" s="269">
        <v>2030</v>
      </c>
      <c r="R56" s="268"/>
      <c r="S56" s="269">
        <v>2030</v>
      </c>
      <c r="T56" s="269"/>
      <c r="U56" s="269"/>
      <c r="V56" s="268"/>
      <c r="W56" s="268"/>
      <c r="X56" s="6"/>
    </row>
    <row r="57" spans="1:24" ht="15.75" customHeight="1">
      <c r="A57" s="260"/>
      <c r="B57" s="91"/>
      <c r="C57" s="91"/>
      <c r="D57" s="91" t="s">
        <v>617</v>
      </c>
      <c r="E57" s="91"/>
      <c r="F57" s="91"/>
      <c r="G57" s="91"/>
      <c r="H57" s="91"/>
      <c r="I57" s="91" t="s">
        <v>618</v>
      </c>
      <c r="J57" s="91"/>
      <c r="K57" s="91"/>
      <c r="L57" s="91"/>
      <c r="M57" s="261"/>
      <c r="N57" s="267"/>
      <c r="O57" s="268"/>
      <c r="P57" s="268"/>
      <c r="Q57" s="269">
        <v>20710</v>
      </c>
      <c r="R57" s="268"/>
      <c r="S57" s="269">
        <v>20710</v>
      </c>
      <c r="T57" s="269"/>
      <c r="U57" s="269"/>
      <c r="V57" s="268"/>
      <c r="W57" s="268"/>
      <c r="X57" s="6"/>
    </row>
    <row r="58" spans="1:24" ht="15.75" customHeight="1">
      <c r="A58" s="260"/>
      <c r="B58" s="91" t="s">
        <v>619</v>
      </c>
      <c r="C58" s="91"/>
      <c r="D58" s="91"/>
      <c r="E58" s="91"/>
      <c r="F58" s="91" t="s">
        <v>620</v>
      </c>
      <c r="G58" s="91"/>
      <c r="H58" s="91"/>
      <c r="I58" s="91"/>
      <c r="J58" s="91"/>
      <c r="K58" s="91"/>
      <c r="L58" s="91"/>
      <c r="M58" s="261"/>
      <c r="N58" s="267"/>
      <c r="O58" s="268">
        <v>376000</v>
      </c>
      <c r="P58" s="268"/>
      <c r="Q58" s="269">
        <v>273305</v>
      </c>
      <c r="R58" s="268"/>
      <c r="S58" s="269">
        <v>-102695</v>
      </c>
      <c r="T58" s="269"/>
      <c r="U58" s="269"/>
      <c r="V58" s="268"/>
      <c r="W58" s="268" t="s">
        <v>621</v>
      </c>
      <c r="X58" s="6"/>
    </row>
    <row r="59" spans="1:24" ht="15.75" customHeight="1">
      <c r="A59" s="260"/>
      <c r="B59" s="91"/>
      <c r="C59" s="91" t="s">
        <v>622</v>
      </c>
      <c r="D59" s="91"/>
      <c r="E59" s="91"/>
      <c r="F59" s="91"/>
      <c r="G59" s="91" t="s">
        <v>623</v>
      </c>
      <c r="H59" s="91"/>
      <c r="I59" s="91"/>
      <c r="J59" s="91"/>
      <c r="K59" s="91"/>
      <c r="L59" s="91"/>
      <c r="M59" s="261"/>
      <c r="N59" s="267"/>
      <c r="O59" s="268"/>
      <c r="P59" s="268"/>
      <c r="Q59" s="269">
        <v>196056</v>
      </c>
      <c r="R59" s="268"/>
      <c r="S59" s="269">
        <v>196056</v>
      </c>
      <c r="T59" s="269"/>
      <c r="U59" s="269"/>
      <c r="V59" s="268"/>
      <c r="W59" s="268"/>
      <c r="X59" s="6"/>
    </row>
    <row r="60" spans="1:24" ht="15.75" customHeight="1">
      <c r="A60" s="260"/>
      <c r="B60" s="91"/>
      <c r="C60" s="91"/>
      <c r="D60" s="91" t="s">
        <v>624</v>
      </c>
      <c r="E60" s="91"/>
      <c r="F60" s="91"/>
      <c r="G60" s="91"/>
      <c r="H60" s="91"/>
      <c r="I60" s="91" t="s">
        <v>625</v>
      </c>
      <c r="J60" s="91"/>
      <c r="K60" s="91"/>
      <c r="L60" s="91"/>
      <c r="M60" s="261"/>
      <c r="N60" s="267"/>
      <c r="O60" s="268"/>
      <c r="P60" s="268"/>
      <c r="Q60" s="269">
        <v>196056</v>
      </c>
      <c r="R60" s="268"/>
      <c r="S60" s="269">
        <v>196056</v>
      </c>
      <c r="T60" s="269"/>
      <c r="U60" s="269"/>
      <c r="V60" s="268"/>
      <c r="W60" s="268"/>
      <c r="X60" s="6"/>
    </row>
    <row r="61" spans="1:24" ht="15.75" customHeight="1">
      <c r="A61" s="260"/>
      <c r="B61" s="91"/>
      <c r="C61" s="91" t="s">
        <v>626</v>
      </c>
      <c r="D61" s="91"/>
      <c r="E61" s="91"/>
      <c r="F61" s="91"/>
      <c r="G61" s="91" t="s">
        <v>627</v>
      </c>
      <c r="H61" s="91"/>
      <c r="I61" s="91"/>
      <c r="J61" s="91"/>
      <c r="K61" s="91"/>
      <c r="L61" s="91"/>
      <c r="M61" s="261"/>
      <c r="N61" s="267"/>
      <c r="O61" s="268"/>
      <c r="P61" s="268"/>
      <c r="Q61" s="269">
        <v>77249</v>
      </c>
      <c r="R61" s="268"/>
      <c r="S61" s="269">
        <v>77249</v>
      </c>
      <c r="T61" s="269"/>
      <c r="U61" s="269"/>
      <c r="V61" s="268"/>
      <c r="W61" s="268"/>
      <c r="X61" s="6"/>
    </row>
    <row r="62" spans="1:24" ht="15.75" customHeight="1">
      <c r="A62" s="260"/>
      <c r="B62" s="91"/>
      <c r="C62" s="91"/>
      <c r="D62" s="91" t="s">
        <v>628</v>
      </c>
      <c r="E62" s="91"/>
      <c r="F62" s="91"/>
      <c r="G62" s="91"/>
      <c r="H62" s="91"/>
      <c r="I62" s="91" t="s">
        <v>627</v>
      </c>
      <c r="J62" s="91"/>
      <c r="K62" s="91"/>
      <c r="L62" s="91"/>
      <c r="M62" s="261"/>
      <c r="N62" s="267"/>
      <c r="O62" s="268"/>
      <c r="P62" s="268"/>
      <c r="Q62" s="269">
        <v>77249</v>
      </c>
      <c r="R62" s="268"/>
      <c r="S62" s="269">
        <v>77249</v>
      </c>
      <c r="T62" s="269"/>
      <c r="U62" s="269"/>
      <c r="V62" s="268"/>
      <c r="W62" s="268"/>
      <c r="X62" s="6"/>
    </row>
    <row r="63" spans="1:24" ht="15.75" customHeight="1">
      <c r="A63" s="262"/>
      <c r="B63" s="92" t="s">
        <v>629</v>
      </c>
      <c r="C63" s="92"/>
      <c r="D63" s="92"/>
      <c r="E63" s="92"/>
      <c r="F63" s="92" t="s">
        <v>630</v>
      </c>
      <c r="G63" s="92"/>
      <c r="H63" s="92"/>
      <c r="I63" s="92"/>
      <c r="J63" s="92"/>
      <c r="K63" s="92"/>
      <c r="L63" s="92"/>
      <c r="M63" s="263"/>
      <c r="N63" s="270"/>
      <c r="O63" s="271">
        <v>0</v>
      </c>
      <c r="P63" s="271"/>
      <c r="Q63" s="272">
        <v>300</v>
      </c>
      <c r="R63" s="271"/>
      <c r="S63" s="272">
        <v>300</v>
      </c>
      <c r="T63" s="272"/>
      <c r="U63" s="272"/>
      <c r="V63" s="271"/>
      <c r="W63" s="271"/>
      <c r="X63" s="6"/>
    </row>
    <row r="64" spans="1:24" ht="15.75" customHeight="1">
      <c r="A64" s="258"/>
      <c r="B64" s="90"/>
      <c r="C64" s="90" t="s">
        <v>631</v>
      </c>
      <c r="D64" s="90"/>
      <c r="E64" s="90"/>
      <c r="F64" s="90"/>
      <c r="G64" s="90" t="s">
        <v>632</v>
      </c>
      <c r="H64" s="90"/>
      <c r="I64" s="90"/>
      <c r="J64" s="90"/>
      <c r="K64" s="90"/>
      <c r="L64" s="90"/>
      <c r="M64" s="259"/>
      <c r="N64" s="264"/>
      <c r="O64" s="265"/>
      <c r="P64" s="266"/>
      <c r="Q64" s="266">
        <v>300</v>
      </c>
      <c r="R64" s="266"/>
      <c r="S64" s="265">
        <v>300</v>
      </c>
      <c r="T64" s="265"/>
      <c r="U64" s="265"/>
      <c r="V64" s="266"/>
      <c r="W64" s="265"/>
      <c r="X64" s="6"/>
    </row>
    <row r="65" spans="1:24" ht="15.75" customHeight="1">
      <c r="A65" s="260"/>
      <c r="B65" s="91"/>
      <c r="C65" s="91"/>
      <c r="D65" s="91" t="s">
        <v>633</v>
      </c>
      <c r="E65" s="91"/>
      <c r="F65" s="91"/>
      <c r="G65" s="91"/>
      <c r="H65" s="91"/>
      <c r="I65" s="91" t="s">
        <v>634</v>
      </c>
      <c r="J65" s="91"/>
      <c r="K65" s="91"/>
      <c r="L65" s="91"/>
      <c r="M65" s="261"/>
      <c r="N65" s="267"/>
      <c r="O65" s="269"/>
      <c r="P65" s="268"/>
      <c r="Q65" s="269">
        <v>300</v>
      </c>
      <c r="R65" s="268"/>
      <c r="S65" s="269">
        <v>300</v>
      </c>
      <c r="T65" s="269"/>
      <c r="U65" s="269"/>
      <c r="V65" s="268"/>
      <c r="W65" s="269"/>
      <c r="X65" s="6"/>
    </row>
    <row r="66" spans="1:24" ht="15.75" customHeight="1">
      <c r="A66" s="260"/>
      <c r="B66" s="91" t="s">
        <v>635</v>
      </c>
      <c r="C66" s="91"/>
      <c r="D66" s="91"/>
      <c r="E66" s="91"/>
      <c r="F66" s="91" t="s">
        <v>636</v>
      </c>
      <c r="G66" s="91"/>
      <c r="H66" s="91"/>
      <c r="I66" s="91"/>
      <c r="J66" s="91"/>
      <c r="K66" s="91"/>
      <c r="L66" s="91"/>
      <c r="M66" s="261"/>
      <c r="N66" s="267"/>
      <c r="O66" s="269">
        <v>23000</v>
      </c>
      <c r="P66" s="268"/>
      <c r="Q66" s="269">
        <v>13910</v>
      </c>
      <c r="R66" s="268"/>
      <c r="S66" s="269">
        <v>-9090</v>
      </c>
      <c r="T66" s="269"/>
      <c r="U66" s="269"/>
      <c r="V66" s="268"/>
      <c r="W66" s="269" t="s">
        <v>637</v>
      </c>
      <c r="X66" s="6"/>
    </row>
    <row r="67" spans="1:24" ht="15.75" customHeight="1">
      <c r="A67" s="260"/>
      <c r="B67" s="91"/>
      <c r="C67" s="91" t="s">
        <v>638</v>
      </c>
      <c r="D67" s="91"/>
      <c r="E67" s="91"/>
      <c r="F67" s="91"/>
      <c r="G67" s="91" t="s">
        <v>639</v>
      </c>
      <c r="H67" s="91"/>
      <c r="I67" s="91"/>
      <c r="J67" s="91"/>
      <c r="K67" s="91"/>
      <c r="L67" s="91"/>
      <c r="M67" s="261"/>
      <c r="N67" s="267"/>
      <c r="O67" s="269"/>
      <c r="P67" s="268"/>
      <c r="Q67" s="269">
        <v>1000</v>
      </c>
      <c r="R67" s="268"/>
      <c r="S67" s="269">
        <v>1000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/>
      <c r="D68" s="91" t="s">
        <v>640</v>
      </c>
      <c r="E68" s="91"/>
      <c r="F68" s="91"/>
      <c r="G68" s="91"/>
      <c r="H68" s="91"/>
      <c r="I68" s="91" t="s">
        <v>641</v>
      </c>
      <c r="J68" s="91"/>
      <c r="K68" s="91"/>
      <c r="L68" s="91"/>
      <c r="M68" s="261"/>
      <c r="N68" s="267"/>
      <c r="O68" s="269"/>
      <c r="P68" s="268"/>
      <c r="Q68" s="269">
        <v>1000</v>
      </c>
      <c r="R68" s="268"/>
      <c r="S68" s="269">
        <v>1000</v>
      </c>
      <c r="T68" s="269"/>
      <c r="U68" s="269"/>
      <c r="V68" s="268"/>
      <c r="W68" s="269"/>
      <c r="X68" s="6"/>
    </row>
    <row r="69" spans="1:24" ht="15.75" customHeight="1">
      <c r="A69" s="260"/>
      <c r="B69" s="91"/>
      <c r="C69" s="91" t="s">
        <v>642</v>
      </c>
      <c r="D69" s="91"/>
      <c r="E69" s="91"/>
      <c r="F69" s="91"/>
      <c r="G69" s="91" t="s">
        <v>643</v>
      </c>
      <c r="H69" s="91"/>
      <c r="I69" s="91"/>
      <c r="J69" s="91"/>
      <c r="K69" s="91"/>
      <c r="L69" s="91"/>
      <c r="M69" s="261"/>
      <c r="N69" s="267"/>
      <c r="O69" s="269"/>
      <c r="P69" s="268"/>
      <c r="Q69" s="269">
        <v>12000</v>
      </c>
      <c r="R69" s="268"/>
      <c r="S69" s="269">
        <v>12000</v>
      </c>
      <c r="T69" s="269"/>
      <c r="U69" s="269"/>
      <c r="V69" s="268"/>
      <c r="W69" s="269"/>
      <c r="X69" s="6"/>
    </row>
    <row r="70" spans="1:24" ht="15.75" customHeight="1">
      <c r="A70" s="260"/>
      <c r="B70" s="91"/>
      <c r="C70" s="91"/>
      <c r="D70" s="91" t="s">
        <v>644</v>
      </c>
      <c r="E70" s="91"/>
      <c r="F70" s="91"/>
      <c r="G70" s="91"/>
      <c r="H70" s="91"/>
      <c r="I70" s="91" t="s">
        <v>645</v>
      </c>
      <c r="J70" s="91"/>
      <c r="K70" s="91"/>
      <c r="L70" s="91"/>
      <c r="M70" s="261"/>
      <c r="N70" s="267"/>
      <c r="O70" s="268"/>
      <c r="P70" s="268"/>
      <c r="Q70" s="269">
        <v>12000</v>
      </c>
      <c r="R70" s="268"/>
      <c r="S70" s="269">
        <v>12000</v>
      </c>
      <c r="T70" s="269"/>
      <c r="U70" s="269"/>
      <c r="V70" s="268"/>
      <c r="W70" s="268"/>
      <c r="X70" s="6"/>
    </row>
    <row r="71" spans="1:24" ht="15.75" customHeight="1">
      <c r="A71" s="260"/>
      <c r="B71" s="91"/>
      <c r="C71" s="91" t="s">
        <v>646</v>
      </c>
      <c r="D71" s="91"/>
      <c r="E71" s="91"/>
      <c r="F71" s="91"/>
      <c r="G71" s="91" t="s">
        <v>647</v>
      </c>
      <c r="H71" s="91"/>
      <c r="I71" s="91"/>
      <c r="J71" s="91"/>
      <c r="K71" s="91"/>
      <c r="L71" s="91"/>
      <c r="M71" s="261"/>
      <c r="N71" s="267"/>
      <c r="O71" s="268"/>
      <c r="P71" s="268"/>
      <c r="Q71" s="269">
        <v>910</v>
      </c>
      <c r="R71" s="268"/>
      <c r="S71" s="269">
        <v>910</v>
      </c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 t="s">
        <v>648</v>
      </c>
      <c r="E72" s="91"/>
      <c r="F72" s="91"/>
      <c r="G72" s="91"/>
      <c r="H72" s="91"/>
      <c r="I72" s="91" t="s">
        <v>649</v>
      </c>
      <c r="J72" s="91"/>
      <c r="K72" s="91"/>
      <c r="L72" s="91"/>
      <c r="M72" s="261"/>
      <c r="N72" s="267"/>
      <c r="O72" s="268"/>
      <c r="P72" s="268"/>
      <c r="Q72" s="269">
        <v>910</v>
      </c>
      <c r="R72" s="268"/>
      <c r="S72" s="269">
        <v>910</v>
      </c>
      <c r="T72" s="269"/>
      <c r="U72" s="269"/>
      <c r="V72" s="268"/>
      <c r="W72" s="268"/>
      <c r="X72" s="6"/>
    </row>
    <row r="73" spans="1:24" ht="15.75" customHeight="1">
      <c r="A73" s="260"/>
      <c r="B73" s="91" t="s">
        <v>650</v>
      </c>
      <c r="C73" s="91"/>
      <c r="D73" s="91"/>
      <c r="E73" s="91"/>
      <c r="F73" s="91" t="s">
        <v>208</v>
      </c>
      <c r="G73" s="91"/>
      <c r="H73" s="91"/>
      <c r="I73" s="91"/>
      <c r="J73" s="91"/>
      <c r="K73" s="91"/>
      <c r="L73" s="91"/>
      <c r="M73" s="261"/>
      <c r="N73" s="267"/>
      <c r="O73" s="268">
        <v>33000</v>
      </c>
      <c r="P73" s="268"/>
      <c r="Q73" s="269">
        <v>8240</v>
      </c>
      <c r="R73" s="268"/>
      <c r="S73" s="269">
        <v>-24760</v>
      </c>
      <c r="T73" s="269"/>
      <c r="U73" s="269"/>
      <c r="V73" s="268"/>
      <c r="W73" s="268" t="s">
        <v>651</v>
      </c>
      <c r="X73" s="6"/>
    </row>
    <row r="74" spans="1:24" ht="15.75" customHeight="1">
      <c r="A74" s="260"/>
      <c r="B74" s="91"/>
      <c r="C74" s="91" t="s">
        <v>652</v>
      </c>
      <c r="D74" s="91"/>
      <c r="E74" s="91"/>
      <c r="F74" s="91"/>
      <c r="G74" s="91" t="s">
        <v>653</v>
      </c>
      <c r="H74" s="91"/>
      <c r="I74" s="91"/>
      <c r="J74" s="91"/>
      <c r="K74" s="91"/>
      <c r="L74" s="91"/>
      <c r="M74" s="261"/>
      <c r="N74" s="267"/>
      <c r="O74" s="268"/>
      <c r="P74" s="268"/>
      <c r="Q74" s="269">
        <v>8240</v>
      </c>
      <c r="R74" s="268"/>
      <c r="S74" s="269">
        <v>8240</v>
      </c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 t="s">
        <v>654</v>
      </c>
      <c r="E75" s="91"/>
      <c r="F75" s="91"/>
      <c r="G75" s="91"/>
      <c r="H75" s="91"/>
      <c r="I75" s="91" t="s">
        <v>208</v>
      </c>
      <c r="J75" s="91"/>
      <c r="K75" s="91"/>
      <c r="L75" s="91"/>
      <c r="M75" s="261"/>
      <c r="N75" s="267"/>
      <c r="O75" s="268"/>
      <c r="P75" s="268"/>
      <c r="Q75" s="269">
        <v>8240</v>
      </c>
      <c r="R75" s="268"/>
      <c r="S75" s="269">
        <v>8240</v>
      </c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 t="s">
        <v>655</v>
      </c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>
        <v>36156000</v>
      </c>
      <c r="P76" s="268"/>
      <c r="Q76" s="269">
        <v>35142071</v>
      </c>
      <c r="R76" s="268"/>
      <c r="S76" s="269">
        <v>-1013929</v>
      </c>
      <c r="T76" s="269"/>
      <c r="U76" s="269"/>
      <c r="V76" s="268"/>
      <c r="W76" s="268" t="s">
        <v>656</v>
      </c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具名範圍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2021-12-01T04:50:57Z</cp:lastPrinted>
  <dcterms:created xsi:type="dcterms:W3CDTF">2016-11-01T23:05:09Z</dcterms:created>
  <dcterms:modified xsi:type="dcterms:W3CDTF">2022-01-28T05:58:31Z</dcterms:modified>
</cp:coreProperties>
</file>